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0" yWindow="0" windowWidth="15340" windowHeight="15660" tabRatio="500" activeTab="0"/>
  </bookViews>
  <sheets>
    <sheet name="un" sheetId="1" r:id="rId1"/>
    <sheet name="deux" sheetId="2" r:id="rId2"/>
  </sheets>
  <definedNames>
    <definedName name="an">'un'!$D$5</definedName>
    <definedName name="avs">'un'!$D$9</definedName>
    <definedName name="ded">'un'!$D$7</definedName>
    <definedName name="dffp">'deux'!$G$1</definedName>
    <definedName name="dona">'un'!$D$6</definedName>
    <definedName name="ems">'un'!$D$8</definedName>
    <definedName name="fortu">'deux'!$F$38</definedName>
    <definedName name="fra">'un'!$D$13</definedName>
    <definedName name="FRfortu">'deux'!$J$38</definedName>
    <definedName name="FRimput">'deux'!$E$84</definedName>
    <definedName name="Frpart">'deux'!$K$85</definedName>
    <definedName name="FRpen">'deux'!$E$75</definedName>
    <definedName name="imput">'deux'!$F$20</definedName>
    <definedName name="part1">'deux'!$F$50</definedName>
    <definedName name="pc">'un'!$D$10</definedName>
    <definedName name="pen">'un'!$D$12</definedName>
    <definedName name="rev">'un'!$D$11</definedName>
  </definedNames>
  <calcPr fullCalcOnLoad="1"/>
</workbook>
</file>

<file path=xl/sharedStrings.xml><?xml version="1.0" encoding="utf-8"?>
<sst xmlns="http://schemas.openxmlformats.org/spreadsheetml/2006/main" count="210" uniqueCount="120">
  <si>
    <t>© TOUT COMPTE FAIT</t>
  </si>
  <si>
    <t>Couple: un conjoint AVS à domicile, un conjoint AI en home</t>
  </si>
  <si>
    <t>Couple: un conjoint AI à domicile, un conjoint AVS en home</t>
  </si>
  <si>
    <t>Couple: un conjoint AI à domicile, un conjoint AI en home</t>
  </si>
  <si>
    <t>en%</t>
  </si>
  <si>
    <t>fortu</t>
  </si>
  <si>
    <t>SUISSE</t>
  </si>
  <si>
    <t>PACC</t>
  </si>
  <si>
    <t>Frfortu</t>
  </si>
  <si>
    <t>Déduction forfaitaire sur la fortune selon PC</t>
  </si>
  <si>
    <t>FRIBOURG</t>
  </si>
  <si>
    <t>Calcul de la participation</t>
  </si>
  <si>
    <t>part1</t>
  </si>
  <si>
    <t>avec 0</t>
  </si>
  <si>
    <t>Calcul pour Fribourg</t>
  </si>
  <si>
    <t>Frpen</t>
  </si>
  <si>
    <t>Frais pension réduit selon PC</t>
  </si>
  <si>
    <t>fr.</t>
  </si>
  <si>
    <t>Personne seule en home, bénéficiaire AVS</t>
  </si>
  <si>
    <t>Personne seule en home, bénéficiaire AI</t>
  </si>
  <si>
    <t>Imputation PACC</t>
  </si>
  <si>
    <t>Frimput</t>
  </si>
  <si>
    <t>PC</t>
  </si>
  <si>
    <t>Participation</t>
  </si>
  <si>
    <t>brute</t>
  </si>
  <si>
    <t>donation</t>
  </si>
  <si>
    <t>hypothèque</t>
  </si>
  <si>
    <t>rente AVS</t>
  </si>
  <si>
    <t>autres ressources</t>
  </si>
  <si>
    <t>pension EMS</t>
  </si>
  <si>
    <t>FRIBOURG</t>
  </si>
  <si>
    <t>PC</t>
  </si>
  <si>
    <t>PACC</t>
  </si>
  <si>
    <t>Frais EMS</t>
  </si>
  <si>
    <t>effectif</t>
  </si>
  <si>
    <t>Frais personnels</t>
  </si>
  <si>
    <t>AVS et AI</t>
  </si>
  <si>
    <t>PC</t>
  </si>
  <si>
    <t>Dépenses</t>
  </si>
  <si>
    <t>dessaississement</t>
  </si>
  <si>
    <t>Resources</t>
  </si>
  <si>
    <t>PACC</t>
  </si>
  <si>
    <t>Dépenses</t>
  </si>
  <si>
    <t>Participation</t>
  </si>
  <si>
    <t>Resources</t>
  </si>
  <si>
    <t>Participation</t>
  </si>
  <si>
    <t>PACC</t>
  </si>
  <si>
    <t>Dépenses PACC</t>
  </si>
  <si>
    <t>fr.</t>
  </si>
  <si>
    <t>%</t>
  </si>
  <si>
    <t xml:space="preserve">valeur donation </t>
  </si>
  <si>
    <t>ressource</t>
  </si>
  <si>
    <t>dépense admise</t>
  </si>
  <si>
    <t xml:space="preserve">Prix de la pension annuelle de l'EMS </t>
  </si>
  <si>
    <t>Frais personnels</t>
  </si>
  <si>
    <t>(*) Rentes 2e pilier, rendement fortune, usufruit, etc.</t>
  </si>
  <si>
    <t>année</t>
  </si>
  <si>
    <t>participation annuelle</t>
  </si>
  <si>
    <t>participation mensuelle</t>
  </si>
  <si>
    <t>Vaud</t>
  </si>
  <si>
    <t>Berne</t>
  </si>
  <si>
    <t>Neuchâtel</t>
  </si>
  <si>
    <t>Valais</t>
  </si>
  <si>
    <t>Fribourg</t>
  </si>
  <si>
    <t>Couple en home, tous deux à l'AVS</t>
  </si>
  <si>
    <t>Personne seule en home, bénéficiaire AVS</t>
  </si>
  <si>
    <t>Couple: un conjoint AVS à domicile, un conjoint AVS en home</t>
  </si>
  <si>
    <t>Couple: un conjoint AVS à domicile, un conjoint AI en home</t>
  </si>
  <si>
    <t>Couple: un conjoint AI à domicile, un conjoint AVS en home</t>
  </si>
  <si>
    <t>Déduction forfaitaire pour frais personnels &gt;</t>
  </si>
  <si>
    <t>dffp</t>
  </si>
  <si>
    <t>Personne seule en home, bénéficiaire AVS</t>
  </si>
  <si>
    <t>Personne seule en home, bénéficiaire AI</t>
  </si>
  <si>
    <t>AVS</t>
  </si>
  <si>
    <t>AI</t>
  </si>
  <si>
    <t>Fribourg</t>
  </si>
  <si>
    <t>imput</t>
  </si>
  <si>
    <t>Imputations sur la fortune nette selon PC</t>
  </si>
  <si>
    <t>Personne seule en home, bénéficiaire AVS</t>
  </si>
  <si>
    <t>Personne seule en home, bénéficiaire AI</t>
  </si>
  <si>
    <t>Couple: un conjoint AVS à domicile, un conjoint AVS en home</t>
  </si>
  <si>
    <t>Déd. Fortune</t>
  </si>
  <si>
    <t>Participation pour 20 ans dans un EMS</t>
  </si>
  <si>
    <t>Couple en home, tous deux à l'AI</t>
  </si>
  <si>
    <t>Couple: un conjoint AVS à domicile, un conjoint AVS en home</t>
  </si>
  <si>
    <t>Couple: un conjoint AVS à domicile, un conjoint AI en home</t>
  </si>
  <si>
    <t>Couple: un conjoint AI à domicile, un conjoint AVS en home</t>
  </si>
  <si>
    <t xml:space="preserve">Année de l'entrée dans l'EMS </t>
  </si>
  <si>
    <t>LISTES</t>
  </si>
  <si>
    <t>Année de de la donation</t>
  </si>
  <si>
    <t>TOTAL</t>
  </si>
  <si>
    <t>dépense réelle</t>
  </si>
  <si>
    <t>diff. Ress/dépe</t>
  </si>
  <si>
    <t>dépense réelle</t>
  </si>
  <si>
    <t>Déssaisissement possible</t>
  </si>
  <si>
    <t>fr.</t>
  </si>
  <si>
    <t>fr.</t>
  </si>
  <si>
    <t>Participation aux frais d'EMS
en cas de donation antérieure</t>
  </si>
  <si>
    <t>Personne seule en home, bénéficiaire AI</t>
  </si>
  <si>
    <t>Couple: un conjoint AI à domicile, un conjoint AI en home</t>
  </si>
  <si>
    <t>Canton</t>
  </si>
  <si>
    <t>Genève</t>
  </si>
  <si>
    <t>Situation du résidant</t>
  </si>
  <si>
    <t>Valeur de la donation</t>
  </si>
  <si>
    <t>Déduction (hypothèque, etc.)</t>
  </si>
  <si>
    <t>Rente annuelle AVS/AI</t>
  </si>
  <si>
    <t>Rente annuelle PC AVS/AI</t>
  </si>
  <si>
    <t>Autres revenus (*)</t>
  </si>
  <si>
    <t>dona</t>
  </si>
  <si>
    <t>ded</t>
  </si>
  <si>
    <t>avs</t>
  </si>
  <si>
    <t>pc</t>
  </si>
  <si>
    <t>rev</t>
  </si>
  <si>
    <t>pen</t>
  </si>
  <si>
    <t>an</t>
  </si>
  <si>
    <t>ems</t>
  </si>
  <si>
    <t>fra</t>
  </si>
  <si>
    <t>Cette calculette © estime la participation maximale que l'Etat peut demander à des enfants «aisés» ayant bénéficié d'une avance sur héritage si leurs parents ne peuvent pas payer la totalité des frais d'EMS.</t>
  </si>
  <si>
    <t>Personne seule en home, bénéficiaire AVS</t>
  </si>
  <si>
    <r>
      <t xml:space="preserve">Les chiffres et calculs mentionnés  ci-dessus se réfèrent à la situation en avril 2015 mais les lois et les taxes varient au fil du temps… Ils sont donc  indicatifs et n'engagent en aucun cas le magazine </t>
    </r>
    <r>
      <rPr>
        <i/>
        <sz val="9"/>
        <color indexed="8"/>
        <rFont val="Verdana"/>
        <family val="0"/>
      </rPr>
      <t>Tout Compte Fait.</t>
    </r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</si>
</sst>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#,##0.00_-\f\r."/>
    <numFmt numFmtId="173" formatCode="#,##0_-\f\r."/>
    <numFmt numFmtId="174" formatCode="#,##0.0"/>
    <numFmt numFmtId="175" formatCode="#,##0.000"/>
    <numFmt numFmtId="176" formatCode="0.0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sz val="9"/>
      <color indexed="8"/>
      <name val="Verdana"/>
      <family val="0"/>
    </font>
    <font>
      <i/>
      <sz val="9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9"/>
      <name val="Verdana"/>
      <family val="0"/>
    </font>
    <font>
      <b/>
      <sz val="12"/>
      <color indexed="9"/>
      <name val="Verdana"/>
      <family val="0"/>
    </font>
    <font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Verdana"/>
      <family val="0"/>
    </font>
    <font>
      <sz val="10"/>
      <color indexed="16"/>
      <name val="Verdana"/>
      <family val="0"/>
    </font>
    <font>
      <sz val="9"/>
      <color indexed="16"/>
      <name val="Verdana"/>
      <family val="0"/>
    </font>
    <font>
      <sz val="7"/>
      <color indexed="16"/>
      <name val="Verdana"/>
      <family val="0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Verdana"/>
      <family val="0"/>
    </font>
    <font>
      <sz val="10"/>
      <color rgb="FF800000"/>
      <name val="Verdana"/>
      <family val="0"/>
    </font>
    <font>
      <sz val="9"/>
      <color rgb="FF800000"/>
      <name val="Verdana"/>
      <family val="0"/>
    </font>
    <font>
      <sz val="7"/>
      <color rgb="FF800000"/>
      <name val="Verdan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1" fontId="5" fillId="33" borderId="10" xfId="0" applyNumberFormat="1" applyFont="1" applyFill="1" applyBorder="1" applyAlignment="1" applyProtection="1">
      <alignment horizontal="right"/>
      <protection hidden="1"/>
    </xf>
    <xf numFmtId="3" fontId="5" fillId="33" borderId="11" xfId="0" applyNumberFormat="1" applyFont="1" applyFill="1" applyBorder="1" applyAlignment="1" applyProtection="1">
      <alignment horizontal="right"/>
      <protection hidden="1"/>
    </xf>
    <xf numFmtId="3" fontId="6" fillId="33" borderId="11" xfId="0" applyNumberFormat="1" applyFont="1" applyFill="1" applyBorder="1" applyAlignment="1" applyProtection="1">
      <alignment horizontal="right"/>
      <protection hidden="1"/>
    </xf>
    <xf numFmtId="0" fontId="4" fillId="33" borderId="12" xfId="0" applyFont="1" applyFill="1" applyBorder="1" applyAlignment="1" applyProtection="1">
      <alignment horizontal="right"/>
      <protection hidden="1"/>
    </xf>
    <xf numFmtId="0" fontId="7" fillId="33" borderId="12" xfId="0" applyFont="1" applyFill="1" applyBorder="1" applyAlignment="1" applyProtection="1">
      <alignment horizontal="left" wrapTex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3" fontId="0" fillId="33" borderId="0" xfId="0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54" fillId="34" borderId="0" xfId="0" applyFont="1" applyFill="1" applyBorder="1" applyAlignment="1" applyProtection="1">
      <alignment/>
      <protection hidden="1"/>
    </xf>
    <xf numFmtId="0" fontId="54" fillId="34" borderId="0" xfId="0" applyFont="1" applyFill="1" applyAlignment="1" applyProtection="1">
      <alignment wrapText="1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54" fillId="33" borderId="0" xfId="0" applyFont="1" applyFill="1" applyBorder="1" applyAlignment="1" applyProtection="1">
      <alignment wrapText="1"/>
      <protection hidden="1"/>
    </xf>
    <xf numFmtId="0" fontId="54" fillId="35" borderId="0" xfId="0" applyFont="1" applyFill="1" applyBorder="1" applyAlignment="1" applyProtection="1">
      <alignment/>
      <protection hidden="1"/>
    </xf>
    <xf numFmtId="0" fontId="54" fillId="35" borderId="0" xfId="0" applyFont="1" applyFill="1" applyBorder="1" applyAlignment="1" applyProtection="1">
      <alignment wrapText="1"/>
      <protection hidden="1"/>
    </xf>
    <xf numFmtId="0" fontId="54" fillId="0" borderId="0" xfId="0" applyFont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right"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34" borderId="13" xfId="0" applyFont="1" applyFill="1" applyBorder="1" applyAlignment="1" applyProtection="1">
      <alignment horizontal="center"/>
      <protection hidden="1"/>
    </xf>
    <xf numFmtId="0" fontId="0" fillId="34" borderId="14" xfId="0" applyFont="1" applyFill="1" applyBorder="1" applyAlignment="1" applyProtection="1">
      <alignment horizontal="center"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0" fontId="0" fillId="34" borderId="16" xfId="0" applyFont="1" applyFill="1" applyBorder="1" applyAlignment="1" applyProtection="1">
      <alignment horizontal="center"/>
      <protection hidden="1"/>
    </xf>
    <xf numFmtId="3" fontId="0" fillId="34" borderId="13" xfId="0" applyNumberFormat="1" applyFont="1" applyFill="1" applyBorder="1" applyAlignment="1" applyProtection="1">
      <alignment horizontal="center"/>
      <protection hidden="1"/>
    </xf>
    <xf numFmtId="3" fontId="0" fillId="34" borderId="0" xfId="0" applyNumberFormat="1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3" fontId="0" fillId="34" borderId="0" xfId="0" applyNumberFormat="1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0" fillId="34" borderId="13" xfId="0" applyFont="1" applyFill="1" applyBorder="1" applyAlignment="1" applyProtection="1">
      <alignment horizontal="right"/>
      <protection hidden="1"/>
    </xf>
    <xf numFmtId="3" fontId="0" fillId="34" borderId="13" xfId="0" applyNumberFormat="1" applyFont="1" applyFill="1" applyBorder="1" applyAlignment="1" applyProtection="1">
      <alignment horizontal="right"/>
      <protection hidden="1"/>
    </xf>
    <xf numFmtId="3" fontId="0" fillId="34" borderId="13" xfId="0" applyNumberFormat="1" applyFont="1" applyFill="1" applyBorder="1" applyAlignment="1" applyProtection="1">
      <alignment/>
      <protection hidden="1"/>
    </xf>
    <xf numFmtId="2" fontId="1" fillId="34" borderId="0" xfId="0" applyNumberFormat="1" applyFont="1" applyFill="1" applyBorder="1" applyAlignment="1" applyProtection="1">
      <alignment horizontal="center"/>
      <protection hidden="1"/>
    </xf>
    <xf numFmtId="3" fontId="1" fillId="34" borderId="0" xfId="0" applyNumberFormat="1" applyFont="1" applyFill="1" applyBorder="1" applyAlignment="1" applyProtection="1">
      <alignment horizontal="center"/>
      <protection hidden="1"/>
    </xf>
    <xf numFmtId="4" fontId="0" fillId="34" borderId="13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/>
      <protection hidden="1"/>
    </xf>
    <xf numFmtId="2" fontId="0" fillId="34" borderId="13" xfId="0" applyNumberFormat="1" applyFont="1" applyFill="1" applyBorder="1" applyAlignment="1" applyProtection="1">
      <alignment horizontal="center"/>
      <protection hidden="1"/>
    </xf>
    <xf numFmtId="174" fontId="0" fillId="34" borderId="0" xfId="0" applyNumberFormat="1" applyFont="1" applyFill="1" applyBorder="1" applyAlignment="1" applyProtection="1">
      <alignment horizontal="center"/>
      <protection hidden="1"/>
    </xf>
    <xf numFmtId="3" fontId="0" fillId="34" borderId="0" xfId="0" applyNumberFormat="1" applyFont="1" applyFill="1" applyBorder="1" applyAlignment="1" applyProtection="1">
      <alignment horizontal="right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 horizontal="right"/>
      <protection hidden="1"/>
    </xf>
    <xf numFmtId="3" fontId="0" fillId="34" borderId="17" xfId="0" applyNumberFormat="1" applyFont="1" applyFill="1" applyBorder="1" applyAlignment="1" applyProtection="1">
      <alignment horizontal="right"/>
      <protection hidden="1"/>
    </xf>
    <xf numFmtId="0" fontId="0" fillId="34" borderId="17" xfId="0" applyFont="1" applyFill="1" applyBorder="1" applyAlignment="1" applyProtection="1">
      <alignment horizontal="center"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 horizontal="left"/>
      <protection hidden="1"/>
    </xf>
    <xf numFmtId="0" fontId="0" fillId="34" borderId="13" xfId="0" applyFont="1" applyFill="1" applyBorder="1" applyAlignment="1" applyProtection="1">
      <alignment horizontal="center" wrapText="1"/>
      <protection hidden="1"/>
    </xf>
    <xf numFmtId="3" fontId="0" fillId="34" borderId="13" xfId="0" applyNumberFormat="1" applyFont="1" applyFill="1" applyBorder="1" applyAlignment="1" applyProtection="1">
      <alignment horizontal="center" vertical="center"/>
      <protection hidden="1"/>
    </xf>
    <xf numFmtId="3" fontId="0" fillId="34" borderId="13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wrapText="1"/>
      <protection hidden="1"/>
    </xf>
    <xf numFmtId="0" fontId="0" fillId="34" borderId="0" xfId="0" applyFont="1" applyFill="1" applyBorder="1" applyAlignment="1" applyProtection="1">
      <alignment horizontal="center" wrapText="1"/>
      <protection hidden="1"/>
    </xf>
    <xf numFmtId="3" fontId="0" fillId="34" borderId="0" xfId="0" applyNumberFormat="1" applyFont="1" applyFill="1" applyBorder="1" applyAlignment="1" applyProtection="1">
      <alignment horizontal="left"/>
      <protection hidden="1"/>
    </xf>
    <xf numFmtId="3" fontId="1" fillId="34" borderId="0" xfId="0" applyNumberFormat="1" applyFont="1" applyFill="1" applyBorder="1" applyAlignment="1" applyProtection="1">
      <alignment/>
      <protection hidden="1"/>
    </xf>
    <xf numFmtId="3" fontId="2" fillId="34" borderId="0" xfId="0" applyNumberFormat="1" applyFont="1" applyFill="1" applyBorder="1" applyAlignment="1" applyProtection="1">
      <alignment horizontal="left"/>
      <protection hidden="1"/>
    </xf>
    <xf numFmtId="3" fontId="2" fillId="34" borderId="0" xfId="0" applyNumberFormat="1" applyFont="1" applyFill="1" applyBorder="1" applyAlignment="1" applyProtection="1">
      <alignment horizontal="right"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 wrapText="1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8" fillId="33" borderId="19" xfId="0" applyFont="1" applyFill="1" applyBorder="1" applyAlignment="1" applyProtection="1">
      <alignment vertical="center"/>
      <protection hidden="1"/>
    </xf>
    <xf numFmtId="0" fontId="8" fillId="33" borderId="19" xfId="0" applyFont="1" applyFill="1" applyBorder="1" applyAlignment="1" applyProtection="1">
      <alignment vertical="center" wrapText="1"/>
      <protection hidden="1"/>
    </xf>
    <xf numFmtId="3" fontId="55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56" fillId="33" borderId="21" xfId="0" applyFont="1" applyFill="1" applyBorder="1" applyAlignment="1" applyProtection="1">
      <alignment vertical="center" wrapText="1"/>
      <protection hidden="1"/>
    </xf>
    <xf numFmtId="0" fontId="8" fillId="33" borderId="11" xfId="0" applyFont="1" applyFill="1" applyBorder="1" applyAlignment="1" applyProtection="1">
      <alignment vertical="center" wrapText="1"/>
      <protection hidden="1"/>
    </xf>
    <xf numFmtId="3" fontId="57" fillId="33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56" fillId="33" borderId="23" xfId="0" applyFont="1" applyFill="1" applyBorder="1" applyAlignment="1" applyProtection="1">
      <alignment vertical="center" wrapText="1"/>
      <protection hidden="1"/>
    </xf>
    <xf numFmtId="0" fontId="55" fillId="33" borderId="20" xfId="0" applyFont="1" applyFill="1" applyBorder="1" applyAlignment="1" applyProtection="1">
      <alignment horizontal="right" vertical="center"/>
      <protection hidden="1" locked="0"/>
    </xf>
    <xf numFmtId="0" fontId="8" fillId="33" borderId="24" xfId="0" applyFont="1" applyFill="1" applyBorder="1" applyAlignment="1" applyProtection="1">
      <alignment vertical="center"/>
      <protection hidden="1"/>
    </xf>
    <xf numFmtId="0" fontId="8" fillId="33" borderId="15" xfId="0" applyFont="1" applyFill="1" applyBorder="1" applyAlignment="1" applyProtection="1">
      <alignment vertical="center" wrapText="1"/>
      <protection hidden="1"/>
    </xf>
    <xf numFmtId="3" fontId="55" fillId="33" borderId="14" xfId="0" applyNumberFormat="1" applyFont="1" applyFill="1" applyBorder="1" applyAlignment="1" applyProtection="1">
      <alignment vertical="center"/>
      <protection hidden="1" locked="0"/>
    </xf>
    <xf numFmtId="0" fontId="14" fillId="33" borderId="25" xfId="0" applyFont="1" applyFill="1" applyBorder="1" applyAlignment="1" applyProtection="1">
      <alignment vertical="center" wrapText="1"/>
      <protection hidden="1"/>
    </xf>
    <xf numFmtId="3" fontId="55" fillId="33" borderId="14" xfId="0" applyNumberFormat="1" applyFont="1" applyFill="1" applyBorder="1" applyAlignment="1" applyProtection="1">
      <alignment vertical="center" wrapText="1"/>
      <protection hidden="1" locked="0"/>
    </xf>
    <xf numFmtId="0" fontId="8" fillId="33" borderId="26" xfId="0" applyFont="1" applyFill="1" applyBorder="1" applyAlignment="1" applyProtection="1">
      <alignment vertical="center"/>
      <protection hidden="1"/>
    </xf>
    <xf numFmtId="0" fontId="8" fillId="33" borderId="27" xfId="0" applyFont="1" applyFill="1" applyBorder="1" applyAlignment="1" applyProtection="1">
      <alignment vertical="center" wrapText="1"/>
      <protection hidden="1"/>
    </xf>
    <xf numFmtId="0" fontId="55" fillId="33" borderId="28" xfId="0" applyFont="1" applyFill="1" applyBorder="1" applyAlignment="1" applyProtection="1">
      <alignment vertical="center"/>
      <protection hidden="1" locked="0"/>
    </xf>
    <xf numFmtId="0" fontId="14" fillId="33" borderId="29" xfId="0" applyFont="1" applyFill="1" applyBorder="1" applyAlignment="1" applyProtection="1">
      <alignment vertical="center" wrapText="1"/>
      <protection hidden="1"/>
    </xf>
    <xf numFmtId="0" fontId="8" fillId="33" borderId="30" xfId="0" applyFont="1" applyFill="1" applyBorder="1" applyAlignment="1" applyProtection="1">
      <alignment vertical="center" wrapText="1"/>
      <protection hidden="1"/>
    </xf>
    <xf numFmtId="0" fontId="14" fillId="33" borderId="31" xfId="0" applyFont="1" applyFill="1" applyBorder="1" applyAlignment="1" applyProtection="1">
      <alignment vertical="center" wrapText="1"/>
      <protection hidden="1"/>
    </xf>
    <xf numFmtId="0" fontId="8" fillId="33" borderId="32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vertical="center" wrapText="1"/>
      <protection hidden="1"/>
    </xf>
    <xf numFmtId="3" fontId="55" fillId="33" borderId="33" xfId="0" applyNumberFormat="1" applyFont="1" applyFill="1" applyBorder="1" applyAlignment="1" applyProtection="1">
      <alignment vertical="center"/>
      <protection hidden="1" locked="0"/>
    </xf>
    <xf numFmtId="0" fontId="14" fillId="33" borderId="34" xfId="0" applyFont="1" applyFill="1" applyBorder="1" applyAlignment="1" applyProtection="1">
      <alignment vertical="center" wrapText="1"/>
      <protection hidden="1"/>
    </xf>
    <xf numFmtId="0" fontId="8" fillId="33" borderId="18" xfId="0" applyFont="1" applyFill="1" applyBorder="1" applyAlignment="1" applyProtection="1">
      <alignment horizontal="left" vertical="center"/>
      <protection hidden="1"/>
    </xf>
    <xf numFmtId="3" fontId="55" fillId="33" borderId="20" xfId="0" applyNumberFormat="1" applyFont="1" applyFill="1" applyBorder="1" applyAlignment="1" applyProtection="1">
      <alignment vertical="center" wrapText="1"/>
      <protection hidden="1" locked="0"/>
    </xf>
    <xf numFmtId="0" fontId="14" fillId="33" borderId="21" xfId="0" applyFont="1" applyFill="1" applyBorder="1" applyAlignment="1" applyProtection="1">
      <alignment vertical="center" wrapText="1"/>
      <protection hidden="1"/>
    </xf>
    <xf numFmtId="3" fontId="6" fillId="33" borderId="22" xfId="0" applyNumberFormat="1" applyFont="1" applyFill="1" applyBorder="1" applyAlignment="1" applyProtection="1">
      <alignment vertical="center"/>
      <protection hidden="1"/>
    </xf>
    <xf numFmtId="0" fontId="8" fillId="33" borderId="23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0" borderId="35" xfId="0" applyFont="1" applyFill="1" applyBorder="1" applyAlignment="1" applyProtection="1">
      <alignment horizontal="right" vertical="center" wrapText="1"/>
      <protection hidden="1"/>
    </xf>
    <xf numFmtId="1" fontId="6" fillId="36" borderId="36" xfId="0" applyNumberFormat="1" applyFont="1" applyFill="1" applyBorder="1" applyAlignment="1" applyProtection="1">
      <alignment vertical="center"/>
      <protection hidden="1"/>
    </xf>
    <xf numFmtId="3" fontId="6" fillId="36" borderId="37" xfId="0" applyNumberFormat="1" applyFont="1" applyFill="1" applyBorder="1" applyAlignment="1" applyProtection="1">
      <alignment horizontal="right" vertical="center"/>
      <protection hidden="1"/>
    </xf>
    <xf numFmtId="3" fontId="6" fillId="36" borderId="38" xfId="0" applyNumberFormat="1" applyFont="1" applyFill="1" applyBorder="1" applyAlignment="1" applyProtection="1">
      <alignment horizontal="right" vertical="center"/>
      <protection hidden="1"/>
    </xf>
    <xf numFmtId="3" fontId="6" fillId="36" borderId="39" xfId="0" applyNumberFormat="1" applyFont="1" applyFill="1" applyBorder="1" applyAlignment="1" applyProtection="1">
      <alignment horizontal="right" vertical="center"/>
      <protection hidden="1"/>
    </xf>
    <xf numFmtId="3" fontId="6" fillId="36" borderId="40" xfId="0" applyNumberFormat="1" applyFont="1" applyFill="1" applyBorder="1" applyAlignment="1" applyProtection="1">
      <alignment horizontal="right" vertical="center"/>
      <protection hidden="1"/>
    </xf>
    <xf numFmtId="1" fontId="6" fillId="0" borderId="36" xfId="0" applyNumberFormat="1" applyFont="1" applyFill="1" applyBorder="1" applyAlignment="1" applyProtection="1">
      <alignment vertical="center"/>
      <protection hidden="1"/>
    </xf>
    <xf numFmtId="3" fontId="6" fillId="33" borderId="39" xfId="0" applyNumberFormat="1" applyFont="1" applyFill="1" applyBorder="1" applyAlignment="1" applyProtection="1">
      <alignment horizontal="right" vertical="center"/>
      <protection hidden="1"/>
    </xf>
    <xf numFmtId="3" fontId="6" fillId="33" borderId="40" xfId="0" applyNumberFormat="1" applyFont="1" applyFill="1" applyBorder="1" applyAlignment="1" applyProtection="1">
      <alignment horizontal="right" vertical="center"/>
      <protection hidden="1"/>
    </xf>
    <xf numFmtId="1" fontId="6" fillId="36" borderId="41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horizontal="right" vertical="center"/>
      <protection hidden="1"/>
    </xf>
    <xf numFmtId="3" fontId="6" fillId="36" borderId="23" xfId="0" applyNumberFormat="1" applyFont="1" applyFill="1" applyBorder="1" applyAlignment="1" applyProtection="1">
      <alignment horizontal="right" vertical="center"/>
      <protection hidden="1"/>
    </xf>
    <xf numFmtId="0" fontId="7" fillId="33" borderId="26" xfId="0" applyFont="1" applyFill="1" applyBorder="1" applyAlignment="1" applyProtection="1">
      <alignment horizontal="left" wrapText="1"/>
      <protection hidden="1"/>
    </xf>
    <xf numFmtId="0" fontId="7" fillId="33" borderId="27" xfId="0" applyFont="1" applyFill="1" applyBorder="1" applyAlignment="1" applyProtection="1">
      <alignment horizontal="left" wrapText="1"/>
      <protection hidden="1"/>
    </xf>
    <xf numFmtId="0" fontId="7" fillId="33" borderId="29" xfId="0" applyFont="1" applyFill="1" applyBorder="1" applyAlignment="1" applyProtection="1">
      <alignment horizontal="left" wrapText="1"/>
      <protection hidden="1"/>
    </xf>
    <xf numFmtId="0" fontId="6" fillId="33" borderId="26" xfId="0" applyFont="1" applyFill="1" applyBorder="1" applyAlignment="1" applyProtection="1">
      <alignment horizontal="right" vertical="center" wrapText="1"/>
      <protection hidden="1"/>
    </xf>
    <xf numFmtId="0" fontId="6" fillId="33" borderId="29" xfId="0" applyFont="1" applyFill="1" applyBorder="1" applyAlignment="1" applyProtection="1">
      <alignment horizontal="right" vertical="center" wrapText="1"/>
      <protection hidden="1"/>
    </xf>
    <xf numFmtId="0" fontId="12" fillId="37" borderId="18" xfId="0" applyFont="1" applyFill="1" applyBorder="1" applyAlignment="1" applyProtection="1">
      <alignment horizontal="left" wrapText="1"/>
      <protection hidden="1"/>
    </xf>
    <xf numFmtId="0" fontId="12" fillId="37" borderId="19" xfId="0" applyFont="1" applyFill="1" applyBorder="1" applyAlignment="1" applyProtection="1">
      <alignment horizontal="left" wrapText="1"/>
      <protection hidden="1"/>
    </xf>
    <xf numFmtId="0" fontId="12" fillId="37" borderId="21" xfId="0" applyFont="1" applyFill="1" applyBorder="1" applyAlignment="1" applyProtection="1">
      <alignment horizontal="left" wrapText="1"/>
      <protection hidden="1"/>
    </xf>
    <xf numFmtId="0" fontId="13" fillId="37" borderId="18" xfId="0" applyFont="1" applyFill="1" applyBorder="1" applyAlignment="1" applyProtection="1">
      <alignment horizontal="left" vertical="center" wrapText="1"/>
      <protection hidden="1"/>
    </xf>
    <xf numFmtId="0" fontId="13" fillId="37" borderId="19" xfId="0" applyFont="1" applyFill="1" applyBorder="1" applyAlignment="1" applyProtection="1">
      <alignment horizontal="left" vertical="center" wrapText="1"/>
      <protection hidden="1"/>
    </xf>
    <xf numFmtId="0" fontId="13" fillId="37" borderId="21" xfId="0" applyFont="1" applyFill="1" applyBorder="1" applyAlignment="1" applyProtection="1">
      <alignment horizontal="left" vertical="center" wrapText="1"/>
      <protection hidden="1"/>
    </xf>
    <xf numFmtId="0" fontId="0" fillId="34" borderId="13" xfId="0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110" zoomScaleNormal="110" workbookViewId="0" topLeftCell="A10">
      <selection activeCell="C24" sqref="C24"/>
    </sheetView>
  </sheetViews>
  <sheetFormatPr defaultColWidth="11.00390625" defaultRowHeight="12.75"/>
  <cols>
    <col min="1" max="1" width="5.875" style="1" customWidth="1"/>
    <col min="2" max="2" width="18.875" style="1" customWidth="1"/>
    <col min="3" max="3" width="2.25390625" style="1" customWidth="1"/>
    <col min="4" max="4" width="18.875" style="1" customWidth="1"/>
    <col min="5" max="5" width="2.625" style="1" customWidth="1"/>
    <col min="6" max="7" width="3.75390625" style="17" hidden="1" customWidth="1"/>
    <col min="8" max="9" width="3.75390625" style="15" hidden="1" customWidth="1"/>
    <col min="10" max="10" width="0" style="15" hidden="1" customWidth="1"/>
    <col min="11" max="11" width="0" style="17" hidden="1" customWidth="1"/>
    <col min="12" max="12" width="0" style="1" hidden="1" customWidth="1"/>
    <col min="13" max="16" width="10.75390625" style="63" customWidth="1"/>
    <col min="17" max="16384" width="10.75390625" style="1" customWidth="1"/>
  </cols>
  <sheetData>
    <row r="1" spans="1:5" ht="37.5" customHeight="1">
      <c r="A1" s="116" t="s">
        <v>97</v>
      </c>
      <c r="B1" s="117"/>
      <c r="C1" s="117"/>
      <c r="D1" s="117"/>
      <c r="E1" s="118"/>
    </row>
    <row r="2" spans="1:5" ht="34.5" customHeight="1" thickBot="1">
      <c r="A2" s="111" t="s">
        <v>117</v>
      </c>
      <c r="B2" s="112"/>
      <c r="C2" s="112"/>
      <c r="D2" s="112"/>
      <c r="E2" s="113"/>
    </row>
    <row r="3" spans="1:5" ht="15.75" customHeight="1">
      <c r="A3" s="65" t="s">
        <v>100</v>
      </c>
      <c r="B3" s="66"/>
      <c r="C3" s="67"/>
      <c r="D3" s="68" t="s">
        <v>61</v>
      </c>
      <c r="E3" s="69"/>
    </row>
    <row r="4" spans="1:5" ht="25.5" customHeight="1" thickBot="1">
      <c r="A4" s="2" t="s">
        <v>102</v>
      </c>
      <c r="B4" s="2"/>
      <c r="C4" s="70"/>
      <c r="D4" s="71" t="s">
        <v>118</v>
      </c>
      <c r="E4" s="72"/>
    </row>
    <row r="5" spans="1:7" ht="15.75" customHeight="1">
      <c r="A5" s="65" t="s">
        <v>89</v>
      </c>
      <c r="B5" s="65"/>
      <c r="C5" s="67"/>
      <c r="D5" s="73">
        <v>2005</v>
      </c>
      <c r="E5" s="69"/>
      <c r="G5" s="19" t="s">
        <v>114</v>
      </c>
    </row>
    <row r="6" spans="1:7" ht="15.75" customHeight="1">
      <c r="A6" s="74" t="s">
        <v>103</v>
      </c>
      <c r="B6" s="74"/>
      <c r="C6" s="75"/>
      <c r="D6" s="76">
        <v>700000</v>
      </c>
      <c r="E6" s="77" t="s">
        <v>95</v>
      </c>
      <c r="G6" s="19" t="s">
        <v>108</v>
      </c>
    </row>
    <row r="7" spans="1:16" s="3" customFormat="1" ht="15.75" customHeight="1">
      <c r="A7" s="74" t="s">
        <v>104</v>
      </c>
      <c r="B7" s="74"/>
      <c r="C7" s="75"/>
      <c r="D7" s="78">
        <v>200000</v>
      </c>
      <c r="E7" s="77" t="s">
        <v>96</v>
      </c>
      <c r="F7" s="18"/>
      <c r="G7" s="20" t="s">
        <v>109</v>
      </c>
      <c r="H7" s="16"/>
      <c r="I7" s="16"/>
      <c r="J7" s="16"/>
      <c r="K7" s="21"/>
      <c r="M7" s="64"/>
      <c r="N7" s="64"/>
      <c r="O7" s="64"/>
      <c r="P7" s="64"/>
    </row>
    <row r="8" spans="1:7" ht="15.75" customHeight="1" thickBot="1">
      <c r="A8" s="79" t="s">
        <v>87</v>
      </c>
      <c r="B8" s="79"/>
      <c r="C8" s="80"/>
      <c r="D8" s="81">
        <v>2015</v>
      </c>
      <c r="E8" s="82"/>
      <c r="G8" s="19" t="s">
        <v>115</v>
      </c>
    </row>
    <row r="9" spans="1:7" ht="15.75" customHeight="1">
      <c r="A9" s="65" t="s">
        <v>105</v>
      </c>
      <c r="B9" s="65"/>
      <c r="C9" s="83"/>
      <c r="D9" s="76">
        <v>22500</v>
      </c>
      <c r="E9" s="84" t="s">
        <v>96</v>
      </c>
      <c r="G9" s="19" t="s">
        <v>110</v>
      </c>
    </row>
    <row r="10" spans="1:7" ht="15.75" customHeight="1">
      <c r="A10" s="74" t="s">
        <v>106</v>
      </c>
      <c r="B10" s="74"/>
      <c r="C10" s="75"/>
      <c r="D10" s="76">
        <v>0</v>
      </c>
      <c r="E10" s="77" t="s">
        <v>96</v>
      </c>
      <c r="G10" s="19" t="s">
        <v>111</v>
      </c>
    </row>
    <row r="11" spans="1:7" ht="15.75" customHeight="1" thickBot="1">
      <c r="A11" s="85" t="s">
        <v>107</v>
      </c>
      <c r="B11" s="85"/>
      <c r="C11" s="86"/>
      <c r="D11" s="87">
        <v>21500</v>
      </c>
      <c r="E11" s="88" t="s">
        <v>96</v>
      </c>
      <c r="G11" s="19" t="s">
        <v>112</v>
      </c>
    </row>
    <row r="12" spans="1:16" s="3" customFormat="1" ht="15.75" customHeight="1">
      <c r="A12" s="89" t="s">
        <v>53</v>
      </c>
      <c r="B12" s="89"/>
      <c r="C12" s="66"/>
      <c r="D12" s="90">
        <v>53700</v>
      </c>
      <c r="E12" s="91" t="s">
        <v>96</v>
      </c>
      <c r="F12" s="18"/>
      <c r="G12" s="20" t="s">
        <v>113</v>
      </c>
      <c r="H12" s="16"/>
      <c r="I12" s="16"/>
      <c r="J12" s="16"/>
      <c r="K12" s="21"/>
      <c r="M12" s="64"/>
      <c r="N12" s="64"/>
      <c r="O12" s="64"/>
      <c r="P12" s="64"/>
    </row>
    <row r="13" spans="1:7" ht="15.75" customHeight="1" thickBot="1">
      <c r="A13" s="79" t="s">
        <v>54</v>
      </c>
      <c r="B13" s="79"/>
      <c r="C13" s="70"/>
      <c r="D13" s="92">
        <f>VLOOKUP(D4,deux!B2:H9,7,0)</f>
        <v>3300</v>
      </c>
      <c r="E13" s="93" t="s">
        <v>48</v>
      </c>
      <c r="G13" s="19" t="s">
        <v>116</v>
      </c>
    </row>
    <row r="14" spans="1:5" ht="12.75">
      <c r="A14" s="94" t="s">
        <v>55</v>
      </c>
      <c r="B14" s="95"/>
      <c r="C14" s="94"/>
      <c r="D14" s="96"/>
      <c r="E14" s="97"/>
    </row>
    <row r="15" spans="1:5" ht="13.5" thickBot="1">
      <c r="A15" s="98"/>
      <c r="B15" s="94"/>
      <c r="C15" s="94"/>
      <c r="D15" s="96"/>
      <c r="E15" s="97"/>
    </row>
    <row r="16" spans="1:5" ht="16.5" customHeight="1">
      <c r="A16" s="119" t="s">
        <v>82</v>
      </c>
      <c r="B16" s="120"/>
      <c r="C16" s="120"/>
      <c r="D16" s="120"/>
      <c r="E16" s="121"/>
    </row>
    <row r="17" spans="1:5" ht="13.5" thickBot="1">
      <c r="A17" s="99" t="s">
        <v>56</v>
      </c>
      <c r="B17" s="114" t="s">
        <v>57</v>
      </c>
      <c r="C17" s="115"/>
      <c r="D17" s="114" t="s">
        <v>58</v>
      </c>
      <c r="E17" s="115"/>
    </row>
    <row r="18" spans="1:5" ht="12.75">
      <c r="A18" s="100">
        <f>ems</f>
        <v>2015</v>
      </c>
      <c r="B18" s="101">
        <f>IF($D$3="Fribourg",deux!K88,deux!G51)</f>
        <v>13000</v>
      </c>
      <c r="C18" s="102" t="s">
        <v>48</v>
      </c>
      <c r="D18" s="103">
        <f>0.05*ROUND((B18/12)/0.05,0)</f>
        <v>1083.3500000000001</v>
      </c>
      <c r="E18" s="104" t="s">
        <v>48</v>
      </c>
    </row>
    <row r="19" spans="1:5" ht="12.75">
      <c r="A19" s="105">
        <f>A18+1</f>
        <v>2016</v>
      </c>
      <c r="B19" s="106">
        <f>IF($D$3="Fribourg",deux!K89,deux!G52)</f>
        <v>13000</v>
      </c>
      <c r="C19" s="107" t="s">
        <v>48</v>
      </c>
      <c r="D19" s="106">
        <f aca="true" t="shared" si="0" ref="D19:D38">0.05*ROUND((B19/12)/0.05,0)</f>
        <v>1083.3500000000001</v>
      </c>
      <c r="E19" s="107" t="s">
        <v>48</v>
      </c>
    </row>
    <row r="20" spans="1:5" ht="12.75">
      <c r="A20" s="100">
        <f>A19+1</f>
        <v>2017</v>
      </c>
      <c r="B20" s="103">
        <f>IF($D$3="Fribourg",deux!K90,deux!G53)</f>
        <v>13000</v>
      </c>
      <c r="C20" s="104" t="s">
        <v>48</v>
      </c>
      <c r="D20" s="103">
        <f t="shared" si="0"/>
        <v>1083.3500000000001</v>
      </c>
      <c r="E20" s="104" t="s">
        <v>48</v>
      </c>
    </row>
    <row r="21" spans="1:5" ht="12.75">
      <c r="A21" s="105">
        <f>A20+1</f>
        <v>2018</v>
      </c>
      <c r="B21" s="106">
        <f>IF($D$3="Fribourg",deux!K91,deux!G54)</f>
        <v>13000</v>
      </c>
      <c r="C21" s="107" t="s">
        <v>48</v>
      </c>
      <c r="D21" s="106">
        <f t="shared" si="0"/>
        <v>1083.3500000000001</v>
      </c>
      <c r="E21" s="107" t="s">
        <v>48</v>
      </c>
    </row>
    <row r="22" spans="1:5" ht="12.75">
      <c r="A22" s="100">
        <f aca="true" t="shared" si="1" ref="A22:A38">A21+1</f>
        <v>2019</v>
      </c>
      <c r="B22" s="103">
        <f>IF($D$3="Fribourg",deux!K92,deux!G55)</f>
        <v>13000</v>
      </c>
      <c r="C22" s="104" t="s">
        <v>48</v>
      </c>
      <c r="D22" s="103">
        <f t="shared" si="0"/>
        <v>1083.3500000000001</v>
      </c>
      <c r="E22" s="104" t="s">
        <v>48</v>
      </c>
    </row>
    <row r="23" spans="1:5" ht="12.75">
      <c r="A23" s="105">
        <f t="shared" si="1"/>
        <v>2020</v>
      </c>
      <c r="B23" s="106">
        <f>IF($D$3="Fribourg",deux!K93,deux!G56)</f>
        <v>13000</v>
      </c>
      <c r="C23" s="107" t="s">
        <v>48</v>
      </c>
      <c r="D23" s="106">
        <f t="shared" si="0"/>
        <v>1083.3500000000001</v>
      </c>
      <c r="E23" s="107" t="s">
        <v>48</v>
      </c>
    </row>
    <row r="24" spans="1:5" ht="12.75">
      <c r="A24" s="100">
        <f t="shared" si="1"/>
        <v>2021</v>
      </c>
      <c r="B24" s="103">
        <f>IF($D$3="Fribourg",deux!K94,deux!G57)</f>
        <v>13000</v>
      </c>
      <c r="C24" s="104" t="s">
        <v>48</v>
      </c>
      <c r="D24" s="103">
        <f t="shared" si="0"/>
        <v>1083.3500000000001</v>
      </c>
      <c r="E24" s="104" t="s">
        <v>48</v>
      </c>
    </row>
    <row r="25" spans="1:5" ht="12.75">
      <c r="A25" s="105">
        <f t="shared" si="1"/>
        <v>2022</v>
      </c>
      <c r="B25" s="106">
        <f>IF($D$3="Fribourg",deux!K95,deux!G58)</f>
        <v>13000</v>
      </c>
      <c r="C25" s="107" t="s">
        <v>48</v>
      </c>
      <c r="D25" s="106">
        <f t="shared" si="0"/>
        <v>1083.3500000000001</v>
      </c>
      <c r="E25" s="107" t="s">
        <v>48</v>
      </c>
    </row>
    <row r="26" spans="1:5" ht="12.75">
      <c r="A26" s="100">
        <f t="shared" si="1"/>
        <v>2023</v>
      </c>
      <c r="B26" s="103">
        <f>IF($D$3="Fribourg",deux!K96,deux!G59)</f>
        <v>13000</v>
      </c>
      <c r="C26" s="104" t="s">
        <v>48</v>
      </c>
      <c r="D26" s="103">
        <f t="shared" si="0"/>
        <v>1083.3500000000001</v>
      </c>
      <c r="E26" s="104" t="s">
        <v>48</v>
      </c>
    </row>
    <row r="27" spans="1:5" ht="12.75">
      <c r="A27" s="105">
        <f t="shared" si="1"/>
        <v>2024</v>
      </c>
      <c r="B27" s="106">
        <f>IF($D$3="Fribourg",deux!K97,deux!G60)</f>
        <v>13000</v>
      </c>
      <c r="C27" s="107" t="s">
        <v>48</v>
      </c>
      <c r="D27" s="106">
        <f t="shared" si="0"/>
        <v>1083.3500000000001</v>
      </c>
      <c r="E27" s="107" t="s">
        <v>48</v>
      </c>
    </row>
    <row r="28" spans="1:5" ht="12.75">
      <c r="A28" s="100">
        <f t="shared" si="1"/>
        <v>2025</v>
      </c>
      <c r="B28" s="103">
        <f>IF($D$3="Fribourg",deux!K98,deux!G61)</f>
        <v>13000</v>
      </c>
      <c r="C28" s="104" t="s">
        <v>48</v>
      </c>
      <c r="D28" s="103">
        <f t="shared" si="0"/>
        <v>1083.3500000000001</v>
      </c>
      <c r="E28" s="104" t="s">
        <v>48</v>
      </c>
    </row>
    <row r="29" spans="1:5" ht="12.75">
      <c r="A29" s="105">
        <f t="shared" si="1"/>
        <v>2026</v>
      </c>
      <c r="B29" s="106">
        <f>IF($D$3="Fribourg",deux!K99,deux!G62)</f>
        <v>11497.5</v>
      </c>
      <c r="C29" s="107" t="s">
        <v>48</v>
      </c>
      <c r="D29" s="106">
        <f t="shared" si="0"/>
        <v>958.1500000000001</v>
      </c>
      <c r="E29" s="107" t="s">
        <v>48</v>
      </c>
    </row>
    <row r="30" spans="1:5" ht="12.75">
      <c r="A30" s="100">
        <f t="shared" si="1"/>
        <v>2027</v>
      </c>
      <c r="B30" s="103">
        <f>IF($D$3="Fribourg",deux!K100,deux!G63)</f>
        <v>7090.512499999997</v>
      </c>
      <c r="C30" s="104" t="s">
        <v>48</v>
      </c>
      <c r="D30" s="103">
        <f t="shared" si="0"/>
        <v>590.9</v>
      </c>
      <c r="E30" s="104" t="s">
        <v>48</v>
      </c>
    </row>
    <row r="31" spans="1:5" ht="12.75">
      <c r="A31" s="105">
        <f>A30+1</f>
        <v>2028</v>
      </c>
      <c r="B31" s="106">
        <f>IF($D$3="Fribourg",deux!K101,deux!G64)</f>
        <v>3586.957437500001</v>
      </c>
      <c r="C31" s="107" t="s">
        <v>48</v>
      </c>
      <c r="D31" s="106">
        <f t="shared" si="0"/>
        <v>298.90000000000003</v>
      </c>
      <c r="E31" s="107" t="s">
        <v>48</v>
      </c>
    </row>
    <row r="32" spans="1:5" ht="12.75">
      <c r="A32" s="100">
        <f t="shared" si="1"/>
        <v>2029</v>
      </c>
      <c r="B32" s="103">
        <f>IF($D$3="Fribourg",deux!K102,deux!G65)</f>
        <v>801.6311628124968</v>
      </c>
      <c r="C32" s="104" t="s">
        <v>48</v>
      </c>
      <c r="D32" s="103">
        <f t="shared" si="0"/>
        <v>66.8</v>
      </c>
      <c r="E32" s="104" t="s">
        <v>48</v>
      </c>
    </row>
    <row r="33" spans="1:5" ht="12.75">
      <c r="A33" s="105">
        <f t="shared" si="1"/>
        <v>2030</v>
      </c>
      <c r="B33" s="106">
        <f>IF($D$3="Fribourg",deux!K103,deux!G66)</f>
        <v>0</v>
      </c>
      <c r="C33" s="107" t="s">
        <v>48</v>
      </c>
      <c r="D33" s="106">
        <f t="shared" si="0"/>
        <v>0</v>
      </c>
      <c r="E33" s="107" t="s">
        <v>48</v>
      </c>
    </row>
    <row r="34" spans="1:5" ht="12.75">
      <c r="A34" s="100">
        <f t="shared" si="1"/>
        <v>2031</v>
      </c>
      <c r="B34" s="103">
        <f>IF($D$3="Fribourg",deux!K104,deux!G67)</f>
        <v>0</v>
      </c>
      <c r="C34" s="104" t="s">
        <v>48</v>
      </c>
      <c r="D34" s="103">
        <f t="shared" si="0"/>
        <v>0</v>
      </c>
      <c r="E34" s="104" t="s">
        <v>48</v>
      </c>
    </row>
    <row r="35" spans="1:5" ht="12.75">
      <c r="A35" s="105">
        <f t="shared" si="1"/>
        <v>2032</v>
      </c>
      <c r="B35" s="106">
        <f>IF($D$3="Fribourg",deux!K105,deux!G68)</f>
        <v>0</v>
      </c>
      <c r="C35" s="107" t="s">
        <v>48</v>
      </c>
      <c r="D35" s="106">
        <f t="shared" si="0"/>
        <v>0</v>
      </c>
      <c r="E35" s="107" t="s">
        <v>48</v>
      </c>
    </row>
    <row r="36" spans="1:5" ht="12.75">
      <c r="A36" s="100">
        <f t="shared" si="1"/>
        <v>2033</v>
      </c>
      <c r="B36" s="103">
        <f>IF($D$3="Fribourg",deux!K106,deux!G69)</f>
        <v>0</v>
      </c>
      <c r="C36" s="104" t="s">
        <v>48</v>
      </c>
      <c r="D36" s="103">
        <f t="shared" si="0"/>
        <v>0</v>
      </c>
      <c r="E36" s="104" t="s">
        <v>48</v>
      </c>
    </row>
    <row r="37" spans="1:5" ht="12.75">
      <c r="A37" s="105">
        <f t="shared" si="1"/>
        <v>2034</v>
      </c>
      <c r="B37" s="106">
        <f>IF($D$3="Fribourg",deux!K107,deux!G70)</f>
        <v>0</v>
      </c>
      <c r="C37" s="107" t="s">
        <v>48</v>
      </c>
      <c r="D37" s="106">
        <f t="shared" si="0"/>
        <v>0</v>
      </c>
      <c r="E37" s="107" t="s">
        <v>48</v>
      </c>
    </row>
    <row r="38" spans="1:5" ht="13.5" thickBot="1">
      <c r="A38" s="108">
        <f t="shared" si="1"/>
        <v>2035</v>
      </c>
      <c r="B38" s="109">
        <f>IF($D$3="Fribourg",deux!K108,deux!G71)</f>
        <v>0</v>
      </c>
      <c r="C38" s="110" t="s">
        <v>48</v>
      </c>
      <c r="D38" s="109">
        <f t="shared" si="0"/>
        <v>0</v>
      </c>
      <c r="E38" s="110" t="s">
        <v>48</v>
      </c>
    </row>
    <row r="39" spans="1:5" ht="13.5" thickBot="1">
      <c r="A39" s="4" t="s">
        <v>90</v>
      </c>
      <c r="B39" s="5">
        <f>SUM(B18:B38)</f>
        <v>165976.60110031252</v>
      </c>
      <c r="C39" s="5" t="s">
        <v>48</v>
      </c>
      <c r="D39" s="6"/>
      <c r="E39" s="7" t="s">
        <v>0</v>
      </c>
    </row>
    <row r="40" spans="1:5" ht="34.5" customHeight="1" thickBot="1">
      <c r="A40" s="111" t="s">
        <v>119</v>
      </c>
      <c r="B40" s="112"/>
      <c r="C40" s="112"/>
      <c r="D40" s="112"/>
      <c r="E40" s="8"/>
    </row>
    <row r="41" spans="1:16" s="10" customFormat="1" ht="15" customHeight="1" hidden="1">
      <c r="A41" s="9"/>
      <c r="F41" s="17"/>
      <c r="G41" s="17"/>
      <c r="H41" s="15"/>
      <c r="I41" s="15"/>
      <c r="J41" s="15"/>
      <c r="K41" s="17"/>
      <c r="M41" s="33"/>
      <c r="N41" s="33"/>
      <c r="O41" s="33"/>
      <c r="P41" s="33"/>
    </row>
    <row r="42" spans="1:16" s="10" customFormat="1" ht="15" customHeight="1" hidden="1">
      <c r="A42" s="9" t="s">
        <v>88</v>
      </c>
      <c r="F42" s="17"/>
      <c r="G42" s="17"/>
      <c r="H42" s="15"/>
      <c r="I42" s="15"/>
      <c r="J42" s="15"/>
      <c r="K42" s="17"/>
      <c r="M42" s="33"/>
      <c r="N42" s="33"/>
      <c r="O42" s="33"/>
      <c r="P42" s="33"/>
    </row>
    <row r="43" spans="1:16" s="10" customFormat="1" ht="15" customHeight="1" hidden="1">
      <c r="A43" s="10">
        <v>1990</v>
      </c>
      <c r="B43" s="11" t="s">
        <v>60</v>
      </c>
      <c r="C43" s="11"/>
      <c r="D43" s="10" t="s">
        <v>65</v>
      </c>
      <c r="F43" s="17"/>
      <c r="G43" s="17"/>
      <c r="H43" s="15"/>
      <c r="I43" s="15"/>
      <c r="J43" s="15"/>
      <c r="K43" s="17"/>
      <c r="M43" s="33"/>
      <c r="N43" s="33"/>
      <c r="O43" s="33"/>
      <c r="P43" s="33"/>
    </row>
    <row r="44" spans="1:16" s="10" customFormat="1" ht="15" customHeight="1" hidden="1">
      <c r="A44" s="10">
        <v>1991</v>
      </c>
      <c r="B44" s="11" t="s">
        <v>63</v>
      </c>
      <c r="C44" s="11"/>
      <c r="D44" s="10" t="s">
        <v>98</v>
      </c>
      <c r="F44" s="17"/>
      <c r="G44" s="17"/>
      <c r="H44" s="15"/>
      <c r="I44" s="15"/>
      <c r="J44" s="15"/>
      <c r="K44" s="17"/>
      <c r="M44" s="33"/>
      <c r="N44" s="33"/>
      <c r="O44" s="33"/>
      <c r="P44" s="33"/>
    </row>
    <row r="45" spans="1:16" s="10" customFormat="1" ht="15" customHeight="1" hidden="1">
      <c r="A45" s="10">
        <v>1992</v>
      </c>
      <c r="B45" s="11" t="s">
        <v>101</v>
      </c>
      <c r="C45" s="11"/>
      <c r="D45" s="10" t="s">
        <v>64</v>
      </c>
      <c r="F45" s="17"/>
      <c r="G45" s="17"/>
      <c r="H45" s="15"/>
      <c r="I45" s="15"/>
      <c r="J45" s="15"/>
      <c r="K45" s="17"/>
      <c r="M45" s="33"/>
      <c r="N45" s="33"/>
      <c r="O45" s="33"/>
      <c r="P45" s="33"/>
    </row>
    <row r="46" spans="1:16" s="10" customFormat="1" ht="15" customHeight="1" hidden="1">
      <c r="A46" s="10">
        <v>1993</v>
      </c>
      <c r="B46" s="11" t="s">
        <v>61</v>
      </c>
      <c r="C46" s="11"/>
      <c r="D46" s="10" t="s">
        <v>83</v>
      </c>
      <c r="F46" s="17"/>
      <c r="G46" s="17"/>
      <c r="H46" s="15"/>
      <c r="I46" s="15"/>
      <c r="J46" s="15"/>
      <c r="K46" s="17"/>
      <c r="M46" s="33"/>
      <c r="N46" s="33"/>
      <c r="O46" s="33"/>
      <c r="P46" s="33"/>
    </row>
    <row r="47" spans="1:16" s="10" customFormat="1" ht="15" customHeight="1" hidden="1">
      <c r="A47" s="10">
        <v>1994</v>
      </c>
      <c r="B47" s="11" t="s">
        <v>62</v>
      </c>
      <c r="C47" s="11"/>
      <c r="D47" s="10" t="s">
        <v>66</v>
      </c>
      <c r="F47" s="17"/>
      <c r="G47" s="17"/>
      <c r="H47" s="15"/>
      <c r="I47" s="15"/>
      <c r="J47" s="15"/>
      <c r="K47" s="17"/>
      <c r="M47" s="33"/>
      <c r="N47" s="33"/>
      <c r="O47" s="33"/>
      <c r="P47" s="33"/>
    </row>
    <row r="48" spans="1:16" s="10" customFormat="1" ht="15" customHeight="1" hidden="1">
      <c r="A48" s="10">
        <v>1995</v>
      </c>
      <c r="B48" s="11" t="s">
        <v>59</v>
      </c>
      <c r="C48" s="11"/>
      <c r="D48" s="10" t="s">
        <v>67</v>
      </c>
      <c r="F48" s="17"/>
      <c r="G48" s="17"/>
      <c r="H48" s="15"/>
      <c r="I48" s="15"/>
      <c r="J48" s="15"/>
      <c r="K48" s="17"/>
      <c r="M48" s="33"/>
      <c r="N48" s="33"/>
      <c r="O48" s="33"/>
      <c r="P48" s="33"/>
    </row>
    <row r="49" spans="1:16" s="10" customFormat="1" ht="15" customHeight="1" hidden="1">
      <c r="A49" s="10">
        <v>1996</v>
      </c>
      <c r="B49" s="11"/>
      <c r="C49" s="11"/>
      <c r="D49" s="10" t="s">
        <v>68</v>
      </c>
      <c r="F49" s="17"/>
      <c r="G49" s="17"/>
      <c r="H49" s="15"/>
      <c r="I49" s="15"/>
      <c r="J49" s="15"/>
      <c r="K49" s="17"/>
      <c r="M49" s="33"/>
      <c r="N49" s="33"/>
      <c r="O49" s="33"/>
      <c r="P49" s="33"/>
    </row>
    <row r="50" spans="1:16" s="10" customFormat="1" ht="15" customHeight="1" hidden="1">
      <c r="A50" s="10">
        <v>1997</v>
      </c>
      <c r="B50" s="11"/>
      <c r="C50" s="11"/>
      <c r="D50" s="10" t="s">
        <v>99</v>
      </c>
      <c r="F50" s="17"/>
      <c r="G50" s="17"/>
      <c r="H50" s="15"/>
      <c r="I50" s="15"/>
      <c r="J50" s="15"/>
      <c r="K50" s="17"/>
      <c r="M50" s="33"/>
      <c r="N50" s="33"/>
      <c r="O50" s="33"/>
      <c r="P50" s="33"/>
    </row>
    <row r="51" spans="1:16" s="10" customFormat="1" ht="15" customHeight="1" hidden="1">
      <c r="A51" s="10">
        <v>1998</v>
      </c>
      <c r="F51" s="17"/>
      <c r="G51" s="17"/>
      <c r="H51" s="15"/>
      <c r="I51" s="15"/>
      <c r="J51" s="15"/>
      <c r="K51" s="17"/>
      <c r="M51" s="33"/>
      <c r="N51" s="33"/>
      <c r="O51" s="33"/>
      <c r="P51" s="33"/>
    </row>
    <row r="52" spans="1:16" s="10" customFormat="1" ht="15" customHeight="1" hidden="1">
      <c r="A52" s="10">
        <v>1999</v>
      </c>
      <c r="F52" s="17"/>
      <c r="G52" s="17"/>
      <c r="H52" s="15"/>
      <c r="I52" s="15"/>
      <c r="J52" s="15"/>
      <c r="K52" s="17"/>
      <c r="M52" s="33"/>
      <c r="N52" s="33"/>
      <c r="O52" s="33"/>
      <c r="P52" s="33"/>
    </row>
    <row r="53" spans="1:16" s="10" customFormat="1" ht="15" customHeight="1" hidden="1">
      <c r="A53" s="10">
        <v>2000</v>
      </c>
      <c r="F53" s="17"/>
      <c r="G53" s="17"/>
      <c r="H53" s="15"/>
      <c r="I53" s="15"/>
      <c r="J53" s="15"/>
      <c r="K53" s="17"/>
      <c r="M53" s="33"/>
      <c r="N53" s="33"/>
      <c r="O53" s="33"/>
      <c r="P53" s="33"/>
    </row>
    <row r="54" spans="1:16" s="10" customFormat="1" ht="15" customHeight="1" hidden="1">
      <c r="A54" s="10">
        <v>2001</v>
      </c>
      <c r="F54" s="17"/>
      <c r="G54" s="17"/>
      <c r="H54" s="15"/>
      <c r="I54" s="15"/>
      <c r="J54" s="15"/>
      <c r="K54" s="17"/>
      <c r="M54" s="33"/>
      <c r="N54" s="33"/>
      <c r="O54" s="33"/>
      <c r="P54" s="33"/>
    </row>
    <row r="55" spans="1:16" s="10" customFormat="1" ht="15" customHeight="1" hidden="1">
      <c r="A55" s="10">
        <v>2002</v>
      </c>
      <c r="F55" s="17"/>
      <c r="G55" s="17"/>
      <c r="H55" s="15"/>
      <c r="I55" s="15"/>
      <c r="J55" s="15"/>
      <c r="K55" s="17"/>
      <c r="M55" s="33"/>
      <c r="N55" s="33"/>
      <c r="O55" s="33"/>
      <c r="P55" s="33"/>
    </row>
    <row r="56" spans="1:16" s="10" customFormat="1" ht="15" customHeight="1" hidden="1">
      <c r="A56" s="10">
        <v>2003</v>
      </c>
      <c r="F56" s="17"/>
      <c r="G56" s="17"/>
      <c r="H56" s="15"/>
      <c r="I56" s="15"/>
      <c r="J56" s="15"/>
      <c r="K56" s="17"/>
      <c r="M56" s="33"/>
      <c r="N56" s="33"/>
      <c r="O56" s="33"/>
      <c r="P56" s="33"/>
    </row>
    <row r="57" spans="1:16" s="10" customFormat="1" ht="15" customHeight="1" hidden="1">
      <c r="A57" s="10">
        <v>2004</v>
      </c>
      <c r="F57" s="17"/>
      <c r="G57" s="17"/>
      <c r="H57" s="15"/>
      <c r="I57" s="15"/>
      <c r="J57" s="15"/>
      <c r="K57" s="17"/>
      <c r="M57" s="33"/>
      <c r="N57" s="33"/>
      <c r="O57" s="33"/>
      <c r="P57" s="33"/>
    </row>
    <row r="58" spans="1:16" s="10" customFormat="1" ht="15" customHeight="1" hidden="1">
      <c r="A58" s="10">
        <v>2005</v>
      </c>
      <c r="F58" s="17"/>
      <c r="G58" s="17"/>
      <c r="H58" s="15"/>
      <c r="I58" s="15"/>
      <c r="J58" s="15"/>
      <c r="K58" s="17"/>
      <c r="M58" s="33"/>
      <c r="N58" s="33"/>
      <c r="O58" s="33"/>
      <c r="P58" s="33"/>
    </row>
    <row r="59" spans="1:16" s="10" customFormat="1" ht="15" customHeight="1" hidden="1">
      <c r="A59" s="10">
        <v>2006</v>
      </c>
      <c r="F59" s="17"/>
      <c r="G59" s="17"/>
      <c r="H59" s="15"/>
      <c r="I59" s="15"/>
      <c r="J59" s="15"/>
      <c r="K59" s="17"/>
      <c r="M59" s="33"/>
      <c r="N59" s="33"/>
      <c r="O59" s="33"/>
      <c r="P59" s="33"/>
    </row>
    <row r="60" spans="1:16" s="10" customFormat="1" ht="15" customHeight="1" hidden="1">
      <c r="A60" s="10">
        <v>2007</v>
      </c>
      <c r="F60" s="17"/>
      <c r="G60" s="17"/>
      <c r="H60" s="15"/>
      <c r="I60" s="15"/>
      <c r="J60" s="15"/>
      <c r="K60" s="17"/>
      <c r="M60" s="33"/>
      <c r="N60" s="33"/>
      <c r="O60" s="33"/>
      <c r="P60" s="33"/>
    </row>
    <row r="61" spans="1:16" s="10" customFormat="1" ht="15" customHeight="1" hidden="1">
      <c r="A61" s="10">
        <v>2008</v>
      </c>
      <c r="F61" s="17"/>
      <c r="G61" s="17"/>
      <c r="H61" s="15"/>
      <c r="I61" s="15"/>
      <c r="J61" s="15"/>
      <c r="K61" s="17"/>
      <c r="M61" s="33"/>
      <c r="N61" s="33"/>
      <c r="O61" s="33"/>
      <c r="P61" s="33"/>
    </row>
    <row r="62" spans="1:16" s="10" customFormat="1" ht="15" customHeight="1" hidden="1">
      <c r="A62" s="10">
        <v>2009</v>
      </c>
      <c r="F62" s="17"/>
      <c r="G62" s="17"/>
      <c r="H62" s="15"/>
      <c r="I62" s="15"/>
      <c r="J62" s="15"/>
      <c r="K62" s="17"/>
      <c r="M62" s="33"/>
      <c r="N62" s="33"/>
      <c r="O62" s="33"/>
      <c r="P62" s="33"/>
    </row>
    <row r="63" spans="1:16" s="10" customFormat="1" ht="15" customHeight="1" hidden="1">
      <c r="A63" s="10">
        <v>2010</v>
      </c>
      <c r="F63" s="17"/>
      <c r="G63" s="17"/>
      <c r="H63" s="15"/>
      <c r="I63" s="15"/>
      <c r="J63" s="15"/>
      <c r="K63" s="17"/>
      <c r="M63" s="33"/>
      <c r="N63" s="33"/>
      <c r="O63" s="33"/>
      <c r="P63" s="33"/>
    </row>
    <row r="64" spans="1:16" s="10" customFormat="1" ht="15" customHeight="1" hidden="1">
      <c r="A64" s="10">
        <v>2011</v>
      </c>
      <c r="F64" s="17"/>
      <c r="G64" s="17"/>
      <c r="H64" s="15"/>
      <c r="I64" s="15"/>
      <c r="J64" s="15"/>
      <c r="K64" s="17"/>
      <c r="M64" s="33"/>
      <c r="N64" s="33"/>
      <c r="O64" s="33"/>
      <c r="P64" s="33"/>
    </row>
    <row r="65" spans="1:16" s="10" customFormat="1" ht="15" customHeight="1" hidden="1">
      <c r="A65" s="10">
        <v>2012</v>
      </c>
      <c r="F65" s="17"/>
      <c r="G65" s="17"/>
      <c r="H65" s="15"/>
      <c r="I65" s="15"/>
      <c r="J65" s="15"/>
      <c r="K65" s="17"/>
      <c r="M65" s="33"/>
      <c r="N65" s="33"/>
      <c r="O65" s="33"/>
      <c r="P65" s="33"/>
    </row>
    <row r="66" spans="1:16" s="10" customFormat="1" ht="15" customHeight="1" hidden="1">
      <c r="A66" s="10">
        <v>2013</v>
      </c>
      <c r="F66" s="17"/>
      <c r="G66" s="17"/>
      <c r="H66" s="15"/>
      <c r="I66" s="15"/>
      <c r="J66" s="15"/>
      <c r="K66" s="17"/>
      <c r="M66" s="33"/>
      <c r="N66" s="33"/>
      <c r="O66" s="33"/>
      <c r="P66" s="33"/>
    </row>
    <row r="67" spans="1:16" s="10" customFormat="1" ht="15" customHeight="1" hidden="1">
      <c r="A67" s="10">
        <v>2014</v>
      </c>
      <c r="F67" s="17"/>
      <c r="G67" s="17"/>
      <c r="H67" s="15"/>
      <c r="I67" s="15"/>
      <c r="J67" s="15"/>
      <c r="K67" s="17"/>
      <c r="M67" s="33"/>
      <c r="N67" s="33"/>
      <c r="O67" s="33"/>
      <c r="P67" s="33"/>
    </row>
    <row r="68" spans="1:16" s="10" customFormat="1" ht="15" customHeight="1" hidden="1">
      <c r="A68" s="10">
        <v>2015</v>
      </c>
      <c r="F68" s="17"/>
      <c r="G68" s="17"/>
      <c r="H68" s="15"/>
      <c r="I68" s="15"/>
      <c r="J68" s="15"/>
      <c r="K68" s="17"/>
      <c r="M68" s="33"/>
      <c r="N68" s="33"/>
      <c r="O68" s="33"/>
      <c r="P68" s="33"/>
    </row>
    <row r="69" spans="1:16" s="10" customFormat="1" ht="15" customHeight="1" hidden="1">
      <c r="A69" s="10">
        <v>2016</v>
      </c>
      <c r="F69" s="17"/>
      <c r="G69" s="17"/>
      <c r="H69" s="15"/>
      <c r="I69" s="15"/>
      <c r="J69" s="15"/>
      <c r="K69" s="17"/>
      <c r="M69" s="33"/>
      <c r="N69" s="33"/>
      <c r="O69" s="33"/>
      <c r="P69" s="33"/>
    </row>
    <row r="70" spans="1:16" s="10" customFormat="1" ht="15" customHeight="1" hidden="1">
      <c r="A70" s="10">
        <v>2017</v>
      </c>
      <c r="F70" s="17"/>
      <c r="G70" s="17"/>
      <c r="H70" s="15"/>
      <c r="I70" s="15"/>
      <c r="J70" s="15"/>
      <c r="K70" s="17"/>
      <c r="M70" s="33"/>
      <c r="N70" s="33"/>
      <c r="O70" s="33"/>
      <c r="P70" s="33"/>
    </row>
    <row r="71" spans="1:16" s="10" customFormat="1" ht="15" customHeight="1" hidden="1">
      <c r="A71" s="10">
        <v>2018</v>
      </c>
      <c r="F71" s="17"/>
      <c r="G71" s="17"/>
      <c r="H71" s="15"/>
      <c r="I71" s="15"/>
      <c r="J71" s="15"/>
      <c r="K71" s="17"/>
      <c r="M71" s="33"/>
      <c r="N71" s="33"/>
      <c r="O71" s="33"/>
      <c r="P71" s="33"/>
    </row>
    <row r="72" spans="1:16" s="10" customFormat="1" ht="15" customHeight="1" hidden="1">
      <c r="A72" s="10">
        <v>2019</v>
      </c>
      <c r="F72" s="17"/>
      <c r="G72" s="17"/>
      <c r="H72" s="15"/>
      <c r="I72" s="15"/>
      <c r="J72" s="15"/>
      <c r="K72" s="17"/>
      <c r="M72" s="33"/>
      <c r="N72" s="33"/>
      <c r="O72" s="33"/>
      <c r="P72" s="33"/>
    </row>
    <row r="73" spans="1:16" s="10" customFormat="1" ht="15" customHeight="1" hidden="1">
      <c r="A73" s="10">
        <v>2020</v>
      </c>
      <c r="F73" s="17"/>
      <c r="G73" s="17"/>
      <c r="H73" s="15"/>
      <c r="I73" s="15"/>
      <c r="J73" s="15"/>
      <c r="K73" s="17"/>
      <c r="M73" s="33"/>
      <c r="N73" s="33"/>
      <c r="O73" s="33"/>
      <c r="P73" s="33"/>
    </row>
    <row r="74" spans="1:16" s="10" customFormat="1" ht="15" customHeight="1" hidden="1">
      <c r="A74" s="10">
        <v>2021</v>
      </c>
      <c r="F74" s="17"/>
      <c r="G74" s="17"/>
      <c r="H74" s="15"/>
      <c r="I74" s="15"/>
      <c r="J74" s="15"/>
      <c r="K74" s="17"/>
      <c r="M74" s="33"/>
      <c r="N74" s="33"/>
      <c r="O74" s="33"/>
      <c r="P74" s="33"/>
    </row>
    <row r="75" spans="1:16" s="10" customFormat="1" ht="15" customHeight="1" hidden="1">
      <c r="A75" s="10">
        <v>2022</v>
      </c>
      <c r="F75" s="17"/>
      <c r="G75" s="17"/>
      <c r="H75" s="15"/>
      <c r="I75" s="15"/>
      <c r="J75" s="15"/>
      <c r="K75" s="17"/>
      <c r="M75" s="33"/>
      <c r="N75" s="33"/>
      <c r="O75" s="33"/>
      <c r="P75" s="33"/>
    </row>
    <row r="76" spans="1:16" s="10" customFormat="1" ht="15" customHeight="1" hidden="1">
      <c r="A76" s="10">
        <v>2023</v>
      </c>
      <c r="F76" s="17"/>
      <c r="G76" s="17"/>
      <c r="H76" s="15"/>
      <c r="I76" s="15"/>
      <c r="J76" s="15"/>
      <c r="K76" s="17"/>
      <c r="M76" s="33"/>
      <c r="N76" s="33"/>
      <c r="O76" s="33"/>
      <c r="P76" s="33"/>
    </row>
    <row r="77" spans="1:16" s="10" customFormat="1" ht="15" customHeight="1" hidden="1">
      <c r="A77" s="10">
        <v>2024</v>
      </c>
      <c r="F77" s="17"/>
      <c r="G77" s="17"/>
      <c r="H77" s="15"/>
      <c r="I77" s="15"/>
      <c r="J77" s="15"/>
      <c r="K77" s="17"/>
      <c r="M77" s="33"/>
      <c r="N77" s="33"/>
      <c r="O77" s="33"/>
      <c r="P77" s="33"/>
    </row>
    <row r="78" spans="1:16" s="10" customFormat="1" ht="15" customHeight="1" hidden="1">
      <c r="A78" s="10">
        <v>2025</v>
      </c>
      <c r="F78" s="17"/>
      <c r="G78" s="17"/>
      <c r="H78" s="15"/>
      <c r="I78" s="15"/>
      <c r="J78" s="15"/>
      <c r="K78" s="17"/>
      <c r="M78" s="33"/>
      <c r="N78" s="33"/>
      <c r="O78" s="33"/>
      <c r="P78" s="33"/>
    </row>
    <row r="79" spans="1:16" s="10" customFormat="1" ht="15" customHeight="1" hidden="1">
      <c r="A79" s="10">
        <v>2026</v>
      </c>
      <c r="F79" s="17"/>
      <c r="G79" s="17"/>
      <c r="H79" s="15"/>
      <c r="I79" s="15"/>
      <c r="J79" s="15"/>
      <c r="K79" s="17"/>
      <c r="M79" s="33"/>
      <c r="N79" s="33"/>
      <c r="O79" s="33"/>
      <c r="P79" s="33"/>
    </row>
    <row r="80" spans="1:16" s="10" customFormat="1" ht="15" customHeight="1" hidden="1">
      <c r="A80" s="10">
        <v>2027</v>
      </c>
      <c r="F80" s="17"/>
      <c r="G80" s="17"/>
      <c r="H80" s="15"/>
      <c r="I80" s="15"/>
      <c r="J80" s="15"/>
      <c r="K80" s="17"/>
      <c r="M80" s="33"/>
      <c r="N80" s="33"/>
      <c r="O80" s="33"/>
      <c r="P80" s="33"/>
    </row>
    <row r="81" spans="1:16" s="10" customFormat="1" ht="15" customHeight="1" hidden="1">
      <c r="A81" s="10">
        <v>2028</v>
      </c>
      <c r="F81" s="17"/>
      <c r="G81" s="17"/>
      <c r="H81" s="15"/>
      <c r="I81" s="15"/>
      <c r="J81" s="15"/>
      <c r="K81" s="17"/>
      <c r="M81" s="33"/>
      <c r="N81" s="33"/>
      <c r="O81" s="33"/>
      <c r="P81" s="33"/>
    </row>
    <row r="82" spans="1:16" s="10" customFormat="1" ht="15" customHeight="1" hidden="1">
      <c r="A82" s="10">
        <v>2029</v>
      </c>
      <c r="F82" s="17"/>
      <c r="G82" s="17"/>
      <c r="H82" s="15"/>
      <c r="I82" s="15"/>
      <c r="J82" s="15"/>
      <c r="K82" s="17"/>
      <c r="M82" s="33"/>
      <c r="N82" s="33"/>
      <c r="O82" s="33"/>
      <c r="P82" s="33"/>
    </row>
    <row r="83" spans="1:16" s="10" customFormat="1" ht="15" customHeight="1" hidden="1">
      <c r="A83" s="10">
        <v>2030</v>
      </c>
      <c r="F83" s="17"/>
      <c r="G83" s="17"/>
      <c r="H83" s="15"/>
      <c r="I83" s="15"/>
      <c r="J83" s="15"/>
      <c r="K83" s="17"/>
      <c r="M83" s="33"/>
      <c r="N83" s="33"/>
      <c r="O83" s="33"/>
      <c r="P83" s="33"/>
    </row>
    <row r="84" spans="1:16" s="10" customFormat="1" ht="15" customHeight="1" hidden="1">
      <c r="A84" s="10">
        <v>2031</v>
      </c>
      <c r="F84" s="17"/>
      <c r="G84" s="17"/>
      <c r="H84" s="15"/>
      <c r="I84" s="15"/>
      <c r="J84" s="15"/>
      <c r="K84" s="17"/>
      <c r="M84" s="33"/>
      <c r="N84" s="33"/>
      <c r="O84" s="33"/>
      <c r="P84" s="33"/>
    </row>
    <row r="85" spans="1:16" s="10" customFormat="1" ht="15" customHeight="1" hidden="1">
      <c r="A85" s="10">
        <v>2032</v>
      </c>
      <c r="F85" s="17"/>
      <c r="G85" s="17"/>
      <c r="H85" s="15"/>
      <c r="I85" s="15"/>
      <c r="J85" s="15"/>
      <c r="K85" s="17"/>
      <c r="M85" s="33"/>
      <c r="N85" s="33"/>
      <c r="O85" s="33"/>
      <c r="P85" s="33"/>
    </row>
    <row r="86" spans="1:16" s="10" customFormat="1" ht="15" customHeight="1" hidden="1">
      <c r="A86" s="10">
        <v>2033</v>
      </c>
      <c r="F86" s="17"/>
      <c r="G86" s="17"/>
      <c r="H86" s="15"/>
      <c r="I86" s="15"/>
      <c r="J86" s="15"/>
      <c r="K86" s="17"/>
      <c r="M86" s="33"/>
      <c r="N86" s="33"/>
      <c r="O86" s="33"/>
      <c r="P86" s="33"/>
    </row>
    <row r="87" spans="1:16" s="10" customFormat="1" ht="15" customHeight="1" hidden="1">
      <c r="A87" s="10">
        <v>2034</v>
      </c>
      <c r="F87" s="17"/>
      <c r="G87" s="17"/>
      <c r="H87" s="15"/>
      <c r="I87" s="15"/>
      <c r="J87" s="15"/>
      <c r="K87" s="17"/>
      <c r="M87" s="33"/>
      <c r="N87" s="33"/>
      <c r="O87" s="33"/>
      <c r="P87" s="33"/>
    </row>
    <row r="88" spans="1:16" s="10" customFormat="1" ht="15" customHeight="1" hidden="1">
      <c r="A88" s="10">
        <v>2035</v>
      </c>
      <c r="F88" s="17"/>
      <c r="G88" s="17"/>
      <c r="H88" s="15"/>
      <c r="I88" s="15"/>
      <c r="J88" s="15"/>
      <c r="K88" s="17"/>
      <c r="M88" s="33"/>
      <c r="N88" s="33"/>
      <c r="O88" s="33"/>
      <c r="P88" s="33"/>
    </row>
    <row r="89" spans="1:16" s="10" customFormat="1" ht="15" customHeight="1" hidden="1">
      <c r="A89" s="10">
        <v>2036</v>
      </c>
      <c r="F89" s="17"/>
      <c r="G89" s="17"/>
      <c r="H89" s="15"/>
      <c r="I89" s="15"/>
      <c r="J89" s="15"/>
      <c r="K89" s="17"/>
      <c r="M89" s="33"/>
      <c r="N89" s="33"/>
      <c r="O89" s="33"/>
      <c r="P89" s="33"/>
    </row>
    <row r="90" spans="1:16" s="10" customFormat="1" ht="15" customHeight="1" hidden="1">
      <c r="A90" s="10">
        <v>2037</v>
      </c>
      <c r="F90" s="17"/>
      <c r="G90" s="17"/>
      <c r="H90" s="15"/>
      <c r="I90" s="15"/>
      <c r="J90" s="15"/>
      <c r="K90" s="17"/>
      <c r="M90" s="33"/>
      <c r="N90" s="33"/>
      <c r="O90" s="33"/>
      <c r="P90" s="33"/>
    </row>
    <row r="91" spans="1:16" s="10" customFormat="1" ht="15" customHeight="1" hidden="1">
      <c r="A91" s="10">
        <v>2038</v>
      </c>
      <c r="F91" s="17"/>
      <c r="G91" s="17"/>
      <c r="H91" s="15"/>
      <c r="I91" s="15"/>
      <c r="J91" s="15"/>
      <c r="K91" s="17"/>
      <c r="M91" s="33"/>
      <c r="N91" s="33"/>
      <c r="O91" s="33"/>
      <c r="P91" s="33"/>
    </row>
    <row r="92" spans="1:16" s="10" customFormat="1" ht="15" customHeight="1" hidden="1">
      <c r="A92" s="10">
        <v>2039</v>
      </c>
      <c r="F92" s="17"/>
      <c r="G92" s="17"/>
      <c r="H92" s="15"/>
      <c r="I92" s="15"/>
      <c r="J92" s="15"/>
      <c r="K92" s="17"/>
      <c r="M92" s="33"/>
      <c r="N92" s="33"/>
      <c r="O92" s="33"/>
      <c r="P92" s="33"/>
    </row>
    <row r="93" spans="1:16" s="10" customFormat="1" ht="15" customHeight="1" hidden="1">
      <c r="A93" s="10">
        <v>2040</v>
      </c>
      <c r="F93" s="17"/>
      <c r="G93" s="17"/>
      <c r="H93" s="15"/>
      <c r="I93" s="15"/>
      <c r="J93" s="15"/>
      <c r="K93" s="17"/>
      <c r="M93" s="33"/>
      <c r="N93" s="33"/>
      <c r="O93" s="33"/>
      <c r="P93" s="33"/>
    </row>
    <row r="94" spans="1:16" s="10" customFormat="1" ht="15" customHeight="1" hidden="1">
      <c r="A94" s="10">
        <v>2041</v>
      </c>
      <c r="F94" s="17"/>
      <c r="G94" s="17"/>
      <c r="H94" s="15"/>
      <c r="I94" s="15"/>
      <c r="J94" s="15"/>
      <c r="K94" s="17"/>
      <c r="M94" s="33"/>
      <c r="N94" s="33"/>
      <c r="O94" s="33"/>
      <c r="P94" s="33"/>
    </row>
    <row r="95" spans="1:16" s="10" customFormat="1" ht="15" customHeight="1" hidden="1">
      <c r="A95" s="10">
        <v>2042</v>
      </c>
      <c r="F95" s="17"/>
      <c r="G95" s="17"/>
      <c r="H95" s="15"/>
      <c r="I95" s="15"/>
      <c r="J95" s="15"/>
      <c r="K95" s="17"/>
      <c r="M95" s="33"/>
      <c r="N95" s="33"/>
      <c r="O95" s="33"/>
      <c r="P95" s="33"/>
    </row>
    <row r="96" spans="1:16" s="10" customFormat="1" ht="15" customHeight="1" hidden="1">
      <c r="A96" s="10">
        <v>2043</v>
      </c>
      <c r="F96" s="17"/>
      <c r="G96" s="17"/>
      <c r="H96" s="15"/>
      <c r="I96" s="15"/>
      <c r="J96" s="15"/>
      <c r="K96" s="17"/>
      <c r="M96" s="33"/>
      <c r="N96" s="33"/>
      <c r="O96" s="33"/>
      <c r="P96" s="33"/>
    </row>
    <row r="97" spans="1:16" s="10" customFormat="1" ht="15" customHeight="1" hidden="1">
      <c r="A97" s="10">
        <v>2044</v>
      </c>
      <c r="F97" s="17"/>
      <c r="G97" s="17"/>
      <c r="H97" s="15"/>
      <c r="I97" s="15"/>
      <c r="J97" s="15"/>
      <c r="K97" s="17"/>
      <c r="M97" s="33"/>
      <c r="N97" s="33"/>
      <c r="O97" s="33"/>
      <c r="P97" s="33"/>
    </row>
    <row r="98" spans="1:16" s="10" customFormat="1" ht="15" customHeight="1" hidden="1">
      <c r="A98" s="10">
        <v>2045</v>
      </c>
      <c r="F98" s="17"/>
      <c r="G98" s="17"/>
      <c r="H98" s="15"/>
      <c r="I98" s="15"/>
      <c r="J98" s="15"/>
      <c r="K98" s="17"/>
      <c r="M98" s="33"/>
      <c r="N98" s="33"/>
      <c r="O98" s="33"/>
      <c r="P98" s="33"/>
    </row>
    <row r="99" spans="1:16" s="10" customFormat="1" ht="15" customHeight="1" hidden="1">
      <c r="A99" s="10">
        <v>2046</v>
      </c>
      <c r="F99" s="17"/>
      <c r="G99" s="17"/>
      <c r="H99" s="15"/>
      <c r="I99" s="15"/>
      <c r="J99" s="15"/>
      <c r="K99" s="17"/>
      <c r="M99" s="33"/>
      <c r="N99" s="33"/>
      <c r="O99" s="33"/>
      <c r="P99" s="33"/>
    </row>
    <row r="100" spans="1:16" s="10" customFormat="1" ht="15" customHeight="1" hidden="1">
      <c r="A100" s="10">
        <v>2047</v>
      </c>
      <c r="F100" s="17"/>
      <c r="G100" s="17"/>
      <c r="H100" s="15"/>
      <c r="I100" s="15"/>
      <c r="J100" s="15"/>
      <c r="K100" s="17"/>
      <c r="M100" s="33"/>
      <c r="N100" s="33"/>
      <c r="O100" s="33"/>
      <c r="P100" s="33"/>
    </row>
    <row r="101" spans="1:16" s="10" customFormat="1" ht="15" customHeight="1" hidden="1">
      <c r="A101" s="10">
        <v>2048</v>
      </c>
      <c r="F101" s="17"/>
      <c r="G101" s="17"/>
      <c r="H101" s="15"/>
      <c r="I101" s="15"/>
      <c r="J101" s="15"/>
      <c r="K101" s="17"/>
      <c r="M101" s="33"/>
      <c r="N101" s="33"/>
      <c r="O101" s="33"/>
      <c r="P101" s="33"/>
    </row>
    <row r="102" spans="1:16" s="10" customFormat="1" ht="15" customHeight="1" hidden="1">
      <c r="A102" s="10">
        <v>2049</v>
      </c>
      <c r="F102" s="17"/>
      <c r="G102" s="17"/>
      <c r="H102" s="15"/>
      <c r="I102" s="15"/>
      <c r="J102" s="15"/>
      <c r="K102" s="17"/>
      <c r="M102" s="33"/>
      <c r="N102" s="33"/>
      <c r="O102" s="33"/>
      <c r="P102" s="33"/>
    </row>
    <row r="103" spans="1:16" s="10" customFormat="1" ht="15" customHeight="1" hidden="1">
      <c r="A103" s="10">
        <v>2050</v>
      </c>
      <c r="F103" s="17"/>
      <c r="G103" s="17"/>
      <c r="H103" s="15"/>
      <c r="I103" s="15"/>
      <c r="J103" s="15"/>
      <c r="K103" s="17"/>
      <c r="M103" s="33"/>
      <c r="N103" s="33"/>
      <c r="O103" s="33"/>
      <c r="P103" s="33"/>
    </row>
    <row r="104" spans="6:16" s="10" customFormat="1" ht="15" customHeight="1" hidden="1">
      <c r="F104" s="17"/>
      <c r="G104" s="17"/>
      <c r="H104" s="15"/>
      <c r="I104" s="15"/>
      <c r="J104" s="15"/>
      <c r="K104" s="17"/>
      <c r="M104" s="33"/>
      <c r="N104" s="33"/>
      <c r="O104" s="33"/>
      <c r="P104" s="33"/>
    </row>
    <row r="105" spans="8:16" s="17" customFormat="1" ht="15" customHeight="1">
      <c r="H105" s="15"/>
      <c r="I105" s="15"/>
      <c r="J105" s="15"/>
      <c r="M105" s="15"/>
      <c r="N105" s="15"/>
      <c r="O105" s="15"/>
      <c r="P105" s="15"/>
    </row>
    <row r="106" spans="8:16" s="17" customFormat="1" ht="12.75">
      <c r="H106" s="15"/>
      <c r="I106" s="15"/>
      <c r="J106" s="15"/>
      <c r="M106" s="15"/>
      <c r="N106" s="15"/>
      <c r="O106" s="15"/>
      <c r="P106" s="15"/>
    </row>
    <row r="107" spans="8:16" s="17" customFormat="1" ht="12.75">
      <c r="H107" s="15"/>
      <c r="I107" s="15"/>
      <c r="J107" s="15"/>
      <c r="M107" s="15"/>
      <c r="N107" s="15"/>
      <c r="O107" s="15"/>
      <c r="P107" s="15"/>
    </row>
    <row r="108" spans="8:16" s="17" customFormat="1" ht="12.75">
      <c r="H108" s="15"/>
      <c r="I108" s="15"/>
      <c r="J108" s="15"/>
      <c r="M108" s="15"/>
      <c r="N108" s="15"/>
      <c r="O108" s="15"/>
      <c r="P108" s="15"/>
    </row>
    <row r="109" spans="8:16" s="17" customFormat="1" ht="12.75">
      <c r="H109" s="15"/>
      <c r="I109" s="15"/>
      <c r="J109" s="15"/>
      <c r="M109" s="15"/>
      <c r="N109" s="15"/>
      <c r="O109" s="15"/>
      <c r="P109" s="15"/>
    </row>
    <row r="110" spans="8:16" s="17" customFormat="1" ht="12.75">
      <c r="H110" s="15"/>
      <c r="I110" s="15"/>
      <c r="J110" s="15"/>
      <c r="M110" s="15"/>
      <c r="N110" s="15"/>
      <c r="O110" s="15"/>
      <c r="P110" s="15"/>
    </row>
    <row r="111" spans="8:16" s="17" customFormat="1" ht="12.75">
      <c r="H111" s="15"/>
      <c r="I111" s="15"/>
      <c r="J111" s="15"/>
      <c r="M111" s="15"/>
      <c r="N111" s="15"/>
      <c r="O111" s="15"/>
      <c r="P111" s="15"/>
    </row>
    <row r="112" spans="8:16" s="17" customFormat="1" ht="12.75">
      <c r="H112" s="15"/>
      <c r="I112" s="15"/>
      <c r="J112" s="15"/>
      <c r="M112" s="15"/>
      <c r="N112" s="15"/>
      <c r="O112" s="15"/>
      <c r="P112" s="15"/>
    </row>
    <row r="113" spans="8:16" s="17" customFormat="1" ht="12.75">
      <c r="H113" s="15"/>
      <c r="I113" s="15"/>
      <c r="J113" s="15"/>
      <c r="M113" s="15"/>
      <c r="N113" s="15"/>
      <c r="O113" s="15"/>
      <c r="P113" s="15"/>
    </row>
    <row r="114" spans="8:16" s="17" customFormat="1" ht="12.75">
      <c r="H114" s="15"/>
      <c r="I114" s="15"/>
      <c r="J114" s="15"/>
      <c r="M114" s="15"/>
      <c r="N114" s="15"/>
      <c r="O114" s="15"/>
      <c r="P114" s="15"/>
    </row>
    <row r="115" spans="8:16" s="17" customFormat="1" ht="12.75">
      <c r="H115" s="15"/>
      <c r="I115" s="15"/>
      <c r="J115" s="15"/>
      <c r="M115" s="15"/>
      <c r="N115" s="15"/>
      <c r="O115" s="15"/>
      <c r="P115" s="15"/>
    </row>
    <row r="116" spans="8:16" s="17" customFormat="1" ht="12.75">
      <c r="H116" s="15"/>
      <c r="I116" s="15"/>
      <c r="J116" s="15"/>
      <c r="M116" s="15"/>
      <c r="N116" s="15"/>
      <c r="O116" s="15"/>
      <c r="P116" s="15"/>
    </row>
    <row r="117" spans="8:16" s="17" customFormat="1" ht="12.75">
      <c r="H117" s="15"/>
      <c r="I117" s="15"/>
      <c r="J117" s="15"/>
      <c r="M117" s="15"/>
      <c r="N117" s="15"/>
      <c r="O117" s="15"/>
      <c r="P117" s="15"/>
    </row>
    <row r="118" spans="8:16" s="17" customFormat="1" ht="12.75">
      <c r="H118" s="15"/>
      <c r="I118" s="15"/>
      <c r="J118" s="15"/>
      <c r="M118" s="15"/>
      <c r="N118" s="15"/>
      <c r="O118" s="15"/>
      <c r="P118" s="15"/>
    </row>
    <row r="119" spans="8:16" s="17" customFormat="1" ht="12.75">
      <c r="H119" s="15"/>
      <c r="I119" s="15"/>
      <c r="J119" s="15"/>
      <c r="M119" s="15"/>
      <c r="N119" s="15"/>
      <c r="O119" s="15"/>
      <c r="P119" s="15"/>
    </row>
    <row r="120" spans="8:16" s="17" customFormat="1" ht="12.75">
      <c r="H120" s="15"/>
      <c r="I120" s="15"/>
      <c r="J120" s="15"/>
      <c r="M120" s="15"/>
      <c r="N120" s="15"/>
      <c r="O120" s="15"/>
      <c r="P120" s="15"/>
    </row>
    <row r="121" spans="8:16" s="17" customFormat="1" ht="12.75">
      <c r="H121" s="15"/>
      <c r="I121" s="15"/>
      <c r="J121" s="15"/>
      <c r="M121" s="15"/>
      <c r="N121" s="15"/>
      <c r="O121" s="15"/>
      <c r="P121" s="15"/>
    </row>
    <row r="122" spans="8:16" s="17" customFormat="1" ht="12.75">
      <c r="H122" s="15"/>
      <c r="I122" s="15"/>
      <c r="J122" s="15"/>
      <c r="M122" s="15"/>
      <c r="N122" s="15"/>
      <c r="O122" s="15"/>
      <c r="P122" s="15"/>
    </row>
    <row r="123" spans="8:16" s="17" customFormat="1" ht="12.75">
      <c r="H123" s="15"/>
      <c r="I123" s="15"/>
      <c r="J123" s="15"/>
      <c r="M123" s="15"/>
      <c r="N123" s="15"/>
      <c r="O123" s="15"/>
      <c r="P123" s="15"/>
    </row>
    <row r="124" spans="8:16" s="17" customFormat="1" ht="12.75">
      <c r="H124" s="15"/>
      <c r="I124" s="15"/>
      <c r="J124" s="15"/>
      <c r="M124" s="15"/>
      <c r="N124" s="15"/>
      <c r="O124" s="15"/>
      <c r="P124" s="15"/>
    </row>
    <row r="125" spans="8:16" s="17" customFormat="1" ht="12.75">
      <c r="H125" s="15"/>
      <c r="I125" s="15"/>
      <c r="J125" s="15"/>
      <c r="M125" s="15"/>
      <c r="N125" s="15"/>
      <c r="O125" s="15"/>
      <c r="P125" s="15"/>
    </row>
    <row r="126" spans="8:16" s="17" customFormat="1" ht="12.75">
      <c r="H126" s="15"/>
      <c r="I126" s="15"/>
      <c r="J126" s="15"/>
      <c r="M126" s="15"/>
      <c r="N126" s="15"/>
      <c r="O126" s="15"/>
      <c r="P126" s="15"/>
    </row>
    <row r="127" spans="8:16" s="17" customFormat="1" ht="12.75">
      <c r="H127" s="15"/>
      <c r="I127" s="15"/>
      <c r="J127" s="15"/>
      <c r="M127" s="15"/>
      <c r="N127" s="15"/>
      <c r="O127" s="15"/>
      <c r="P127" s="15"/>
    </row>
    <row r="128" spans="8:16" s="17" customFormat="1" ht="12.75">
      <c r="H128" s="15"/>
      <c r="I128" s="15"/>
      <c r="J128" s="15"/>
      <c r="M128" s="15"/>
      <c r="N128" s="15"/>
      <c r="O128" s="15"/>
      <c r="P128" s="15"/>
    </row>
    <row r="129" spans="8:16" s="17" customFormat="1" ht="12.75">
      <c r="H129" s="15"/>
      <c r="I129" s="15"/>
      <c r="J129" s="15"/>
      <c r="M129" s="15"/>
      <c r="N129" s="15"/>
      <c r="O129" s="15"/>
      <c r="P129" s="15"/>
    </row>
    <row r="130" spans="8:16" s="17" customFormat="1" ht="12.75">
      <c r="H130" s="15"/>
      <c r="I130" s="15"/>
      <c r="J130" s="15"/>
      <c r="M130" s="15"/>
      <c r="N130" s="15"/>
      <c r="O130" s="15"/>
      <c r="P130" s="15"/>
    </row>
    <row r="131" spans="8:16" s="17" customFormat="1" ht="12.75">
      <c r="H131" s="15"/>
      <c r="I131" s="15"/>
      <c r="J131" s="15"/>
      <c r="M131" s="15"/>
      <c r="N131" s="15"/>
      <c r="O131" s="15"/>
      <c r="P131" s="15"/>
    </row>
    <row r="132" spans="8:16" s="17" customFormat="1" ht="12.75">
      <c r="H132" s="15"/>
      <c r="I132" s="15"/>
      <c r="J132" s="15"/>
      <c r="M132" s="15"/>
      <c r="N132" s="15"/>
      <c r="O132" s="15"/>
      <c r="P132" s="15"/>
    </row>
    <row r="133" spans="8:16" s="17" customFormat="1" ht="12.75">
      <c r="H133" s="15"/>
      <c r="I133" s="15"/>
      <c r="J133" s="15"/>
      <c r="M133" s="15"/>
      <c r="N133" s="15"/>
      <c r="O133" s="15"/>
      <c r="P133" s="15"/>
    </row>
    <row r="134" spans="8:16" s="17" customFormat="1" ht="12.75">
      <c r="H134" s="15"/>
      <c r="I134" s="15"/>
      <c r="J134" s="15"/>
      <c r="M134" s="15"/>
      <c r="N134" s="15"/>
      <c r="O134" s="15"/>
      <c r="P134" s="15"/>
    </row>
    <row r="135" spans="8:16" s="17" customFormat="1" ht="12.75">
      <c r="H135" s="15"/>
      <c r="I135" s="15"/>
      <c r="J135" s="15"/>
      <c r="M135" s="15"/>
      <c r="N135" s="15"/>
      <c r="O135" s="15"/>
      <c r="P135" s="15"/>
    </row>
    <row r="136" spans="8:16" s="17" customFormat="1" ht="12.75">
      <c r="H136" s="15"/>
      <c r="I136" s="15"/>
      <c r="J136" s="15"/>
      <c r="M136" s="15"/>
      <c r="N136" s="15"/>
      <c r="O136" s="15"/>
      <c r="P136" s="15"/>
    </row>
    <row r="137" spans="8:16" s="17" customFormat="1" ht="12.75">
      <c r="H137" s="15"/>
      <c r="I137" s="15"/>
      <c r="J137" s="15"/>
      <c r="M137" s="15"/>
      <c r="N137" s="15"/>
      <c r="O137" s="15"/>
      <c r="P137" s="15"/>
    </row>
    <row r="138" spans="8:16" s="17" customFormat="1" ht="12.75">
      <c r="H138" s="15"/>
      <c r="I138" s="15"/>
      <c r="J138" s="15"/>
      <c r="M138" s="15"/>
      <c r="N138" s="15"/>
      <c r="O138" s="15"/>
      <c r="P138" s="15"/>
    </row>
    <row r="139" spans="8:16" s="17" customFormat="1" ht="12.75">
      <c r="H139" s="15"/>
      <c r="I139" s="15"/>
      <c r="J139" s="15"/>
      <c r="M139" s="15"/>
      <c r="N139" s="15"/>
      <c r="O139" s="15"/>
      <c r="P139" s="15"/>
    </row>
    <row r="140" spans="8:16" s="17" customFormat="1" ht="12.75">
      <c r="H140" s="15"/>
      <c r="I140" s="15"/>
      <c r="J140" s="15"/>
      <c r="M140" s="15"/>
      <c r="N140" s="15"/>
      <c r="O140" s="15"/>
      <c r="P140" s="15"/>
    </row>
    <row r="141" spans="8:16" s="17" customFormat="1" ht="12.75">
      <c r="H141" s="15"/>
      <c r="I141" s="15"/>
      <c r="J141" s="15"/>
      <c r="M141" s="15"/>
      <c r="N141" s="15"/>
      <c r="O141" s="15"/>
      <c r="P141" s="15"/>
    </row>
    <row r="142" spans="8:16" s="17" customFormat="1" ht="12.75">
      <c r="H142" s="15"/>
      <c r="I142" s="15"/>
      <c r="J142" s="15"/>
      <c r="M142" s="15"/>
      <c r="N142" s="15"/>
      <c r="O142" s="15"/>
      <c r="P142" s="15"/>
    </row>
    <row r="143" spans="8:16" s="17" customFormat="1" ht="12.75">
      <c r="H143" s="15"/>
      <c r="I143" s="15"/>
      <c r="J143" s="15"/>
      <c r="M143" s="15"/>
      <c r="N143" s="15"/>
      <c r="O143" s="15"/>
      <c r="P143" s="15"/>
    </row>
    <row r="144" spans="8:16" s="17" customFormat="1" ht="12.75">
      <c r="H144" s="15"/>
      <c r="I144" s="15"/>
      <c r="J144" s="15"/>
      <c r="M144" s="15"/>
      <c r="N144" s="15"/>
      <c r="O144" s="15"/>
      <c r="P144" s="15"/>
    </row>
    <row r="145" spans="8:16" s="17" customFormat="1" ht="12.75">
      <c r="H145" s="15"/>
      <c r="I145" s="15"/>
      <c r="J145" s="15"/>
      <c r="M145" s="15"/>
      <c r="N145" s="15"/>
      <c r="O145" s="15"/>
      <c r="P145" s="15"/>
    </row>
    <row r="146" spans="8:16" s="17" customFormat="1" ht="12.75">
      <c r="H146" s="15"/>
      <c r="I146" s="15"/>
      <c r="J146" s="15"/>
      <c r="M146" s="15"/>
      <c r="N146" s="15"/>
      <c r="O146" s="15"/>
      <c r="P146" s="15"/>
    </row>
    <row r="147" spans="8:16" s="17" customFormat="1" ht="12.75">
      <c r="H147" s="15"/>
      <c r="I147" s="15"/>
      <c r="J147" s="15"/>
      <c r="M147" s="15"/>
      <c r="N147" s="15"/>
      <c r="O147" s="15"/>
      <c r="P147" s="15"/>
    </row>
    <row r="148" spans="8:16" s="17" customFormat="1" ht="12.75">
      <c r="H148" s="15"/>
      <c r="I148" s="15"/>
      <c r="J148" s="15"/>
      <c r="M148" s="15"/>
      <c r="N148" s="15"/>
      <c r="O148" s="15"/>
      <c r="P148" s="15"/>
    </row>
    <row r="149" spans="8:16" s="17" customFormat="1" ht="12.75">
      <c r="H149" s="15"/>
      <c r="I149" s="15"/>
      <c r="J149" s="15"/>
      <c r="M149" s="15"/>
      <c r="N149" s="15"/>
      <c r="O149" s="15"/>
      <c r="P149" s="15"/>
    </row>
    <row r="150" spans="8:16" s="17" customFormat="1" ht="12.75">
      <c r="H150" s="15"/>
      <c r="I150" s="15"/>
      <c r="J150" s="15"/>
      <c r="M150" s="15"/>
      <c r="N150" s="15"/>
      <c r="O150" s="15"/>
      <c r="P150" s="15"/>
    </row>
    <row r="151" spans="8:16" s="17" customFormat="1" ht="12.75">
      <c r="H151" s="15"/>
      <c r="I151" s="15"/>
      <c r="J151" s="15"/>
      <c r="M151" s="15"/>
      <c r="N151" s="15"/>
      <c r="O151" s="15"/>
      <c r="P151" s="15"/>
    </row>
    <row r="152" spans="8:16" s="17" customFormat="1" ht="12.75">
      <c r="H152" s="15"/>
      <c r="I152" s="15"/>
      <c r="J152" s="15"/>
      <c r="M152" s="15"/>
      <c r="N152" s="15"/>
      <c r="O152" s="15"/>
      <c r="P152" s="15"/>
    </row>
    <row r="153" spans="8:16" s="17" customFormat="1" ht="12.75">
      <c r="H153" s="15"/>
      <c r="I153" s="15"/>
      <c r="J153" s="15"/>
      <c r="M153" s="15"/>
      <c r="N153" s="15"/>
      <c r="O153" s="15"/>
      <c r="P153" s="15"/>
    </row>
    <row r="154" spans="8:16" s="17" customFormat="1" ht="12.75">
      <c r="H154" s="15"/>
      <c r="I154" s="15"/>
      <c r="J154" s="15"/>
      <c r="M154" s="15"/>
      <c r="N154" s="15"/>
      <c r="O154" s="15"/>
      <c r="P154" s="15"/>
    </row>
    <row r="155" spans="8:16" s="17" customFormat="1" ht="12.75">
      <c r="H155" s="15"/>
      <c r="I155" s="15"/>
      <c r="J155" s="15"/>
      <c r="M155" s="15"/>
      <c r="N155" s="15"/>
      <c r="O155" s="15"/>
      <c r="P155" s="15"/>
    </row>
    <row r="156" spans="8:16" s="17" customFormat="1" ht="12.75">
      <c r="H156" s="15"/>
      <c r="I156" s="15"/>
      <c r="J156" s="15"/>
      <c r="M156" s="15"/>
      <c r="N156" s="15"/>
      <c r="O156" s="15"/>
      <c r="P156" s="15"/>
    </row>
    <row r="157" spans="8:16" s="17" customFormat="1" ht="12.75">
      <c r="H157" s="15"/>
      <c r="I157" s="15"/>
      <c r="J157" s="15"/>
      <c r="M157" s="15"/>
      <c r="N157" s="15"/>
      <c r="O157" s="15"/>
      <c r="P157" s="15"/>
    </row>
    <row r="158" spans="8:16" s="17" customFormat="1" ht="12.75">
      <c r="H158" s="15"/>
      <c r="I158" s="15"/>
      <c r="J158" s="15"/>
      <c r="M158" s="15"/>
      <c r="N158" s="15"/>
      <c r="O158" s="15"/>
      <c r="P158" s="15"/>
    </row>
    <row r="159" spans="8:16" s="17" customFormat="1" ht="12.75">
      <c r="H159" s="15"/>
      <c r="I159" s="15"/>
      <c r="J159" s="15"/>
      <c r="M159" s="15"/>
      <c r="N159" s="15"/>
      <c r="O159" s="15"/>
      <c r="P159" s="15"/>
    </row>
    <row r="160" spans="8:16" s="17" customFormat="1" ht="12.75">
      <c r="H160" s="15"/>
      <c r="I160" s="15"/>
      <c r="J160" s="15"/>
      <c r="M160" s="15"/>
      <c r="N160" s="15"/>
      <c r="O160" s="15"/>
      <c r="P160" s="15"/>
    </row>
    <row r="161" spans="8:16" s="17" customFormat="1" ht="12.75">
      <c r="H161" s="15"/>
      <c r="I161" s="15"/>
      <c r="J161" s="15"/>
      <c r="M161" s="15"/>
      <c r="N161" s="15"/>
      <c r="O161" s="15"/>
      <c r="P161" s="15"/>
    </row>
    <row r="162" spans="8:16" s="17" customFormat="1" ht="12.75">
      <c r="H162" s="15"/>
      <c r="I162" s="15"/>
      <c r="J162" s="15"/>
      <c r="M162" s="15"/>
      <c r="N162" s="15"/>
      <c r="O162" s="15"/>
      <c r="P162" s="15"/>
    </row>
    <row r="163" spans="8:16" s="17" customFormat="1" ht="12.75">
      <c r="H163" s="15"/>
      <c r="I163" s="15"/>
      <c r="J163" s="15"/>
      <c r="M163" s="15"/>
      <c r="N163" s="15"/>
      <c r="O163" s="15"/>
      <c r="P163" s="15"/>
    </row>
    <row r="164" spans="8:16" s="17" customFormat="1" ht="12.75">
      <c r="H164" s="15"/>
      <c r="I164" s="15"/>
      <c r="J164" s="15"/>
      <c r="M164" s="15"/>
      <c r="N164" s="15"/>
      <c r="O164" s="15"/>
      <c r="P164" s="15"/>
    </row>
    <row r="165" spans="8:16" s="17" customFormat="1" ht="12.75">
      <c r="H165" s="15"/>
      <c r="I165" s="15"/>
      <c r="J165" s="15"/>
      <c r="M165" s="15"/>
      <c r="N165" s="15"/>
      <c r="O165" s="15"/>
      <c r="P165" s="15"/>
    </row>
    <row r="166" spans="8:16" s="17" customFormat="1" ht="12.75">
      <c r="H166" s="15"/>
      <c r="I166" s="15"/>
      <c r="J166" s="15"/>
      <c r="M166" s="15"/>
      <c r="N166" s="15"/>
      <c r="O166" s="15"/>
      <c r="P166" s="15"/>
    </row>
    <row r="167" spans="8:16" s="17" customFormat="1" ht="12.75">
      <c r="H167" s="15"/>
      <c r="I167" s="15"/>
      <c r="J167" s="15"/>
      <c r="M167" s="15"/>
      <c r="N167" s="15"/>
      <c r="O167" s="15"/>
      <c r="P167" s="15"/>
    </row>
    <row r="168" spans="8:16" s="17" customFormat="1" ht="12.75">
      <c r="H168" s="15"/>
      <c r="I168" s="15"/>
      <c r="J168" s="15"/>
      <c r="M168" s="15"/>
      <c r="N168" s="15"/>
      <c r="O168" s="15"/>
      <c r="P168" s="15"/>
    </row>
    <row r="169" spans="8:16" s="17" customFormat="1" ht="12.75">
      <c r="H169" s="15"/>
      <c r="I169" s="15"/>
      <c r="J169" s="15"/>
      <c r="M169" s="15"/>
      <c r="N169" s="15"/>
      <c r="O169" s="15"/>
      <c r="P169" s="15"/>
    </row>
    <row r="170" spans="8:16" s="17" customFormat="1" ht="12.75">
      <c r="H170" s="15"/>
      <c r="I170" s="15"/>
      <c r="J170" s="15"/>
      <c r="M170" s="15"/>
      <c r="N170" s="15"/>
      <c r="O170" s="15"/>
      <c r="P170" s="15"/>
    </row>
  </sheetData>
  <sheetProtection password="DE35" sheet="1" objects="1" scenarios="1"/>
  <mergeCells count="6">
    <mergeCell ref="A40:D40"/>
    <mergeCell ref="A2:E2"/>
    <mergeCell ref="B17:C17"/>
    <mergeCell ref="D17:E17"/>
    <mergeCell ref="A1:E1"/>
    <mergeCell ref="A16:E16"/>
  </mergeCells>
  <dataValidations count="5">
    <dataValidation allowBlank="1" sqref="C3:C15 E3:E15 D6:D7 C18:C65536 B17:B65536 F1:IV65536 A1:A65536 E18:E65536 B3:B15 D9:D15 D17:D65536"/>
    <dataValidation type="list" allowBlank="1" sqref="D3">
      <formula1>un!$B$43:$B$48</formula1>
    </dataValidation>
    <dataValidation type="list" allowBlank="1" sqref="D4">
      <formula1>un!$D$43:$D$50</formula1>
    </dataValidation>
    <dataValidation type="list" allowBlank="1" sqref="D5">
      <formula1>un!$A$44:$A$68</formula1>
    </dataValidation>
    <dataValidation type="list" allowBlank="1" sqref="D8">
      <formula1>un!$A$68:$A$88</formula1>
    </dataValidation>
  </dataValidations>
  <printOptions/>
  <pageMargins left="0.75" right="0.75" top="1" bottom="1" header="0.5" footer="0.5"/>
  <pageSetup orientation="portrait" paperSize="9"/>
  <ignoredErrors>
    <ignoredError sqref="D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"/>
  <sheetViews>
    <sheetView workbookViewId="0" topLeftCell="M51">
      <selection activeCell="S70" sqref="S70"/>
    </sheetView>
  </sheetViews>
  <sheetFormatPr defaultColWidth="11.00390625" defaultRowHeight="12.75"/>
  <cols>
    <col min="1" max="1" width="8.00390625" style="23" hidden="1" customWidth="1"/>
    <col min="2" max="5" width="7.75390625" style="23" hidden="1" customWidth="1"/>
    <col min="6" max="6" width="8.25390625" style="23" hidden="1" customWidth="1"/>
    <col min="7" max="7" width="7.75390625" style="23" hidden="1" customWidth="1"/>
    <col min="8" max="8" width="7.375" style="23" hidden="1" customWidth="1"/>
    <col min="9" max="9" width="8.625" style="23" hidden="1" customWidth="1"/>
    <col min="10" max="10" width="6.875" style="23" hidden="1" customWidth="1"/>
    <col min="11" max="11" width="9.75390625" style="23" hidden="1" customWidth="1"/>
    <col min="12" max="12" width="9.625" style="23" hidden="1" customWidth="1"/>
    <col min="13" max="14" width="9.625" style="11" customWidth="1"/>
    <col min="15" max="16384" width="10.75390625" style="11" customWidth="1"/>
  </cols>
  <sheetData>
    <row r="1" spans="1:7" ht="12.75">
      <c r="A1" s="22" t="s">
        <v>69</v>
      </c>
      <c r="F1" s="23" t="s">
        <v>70</v>
      </c>
      <c r="G1" s="23">
        <f>VLOOKUP(un!D4,B2:H9,7,0)</f>
        <v>3300</v>
      </c>
    </row>
    <row r="2" spans="1:8" ht="12.75">
      <c r="A2" s="24">
        <v>1</v>
      </c>
      <c r="B2" s="25" t="s">
        <v>71</v>
      </c>
      <c r="C2" s="26"/>
      <c r="D2" s="26"/>
      <c r="E2" s="27"/>
      <c r="F2" s="28"/>
      <c r="G2" s="29"/>
      <c r="H2" s="30">
        <f>F12</f>
        <v>3300</v>
      </c>
    </row>
    <row r="3" spans="1:8" ht="12.75">
      <c r="A3" s="24">
        <v>2</v>
      </c>
      <c r="B3" s="25" t="s">
        <v>72</v>
      </c>
      <c r="C3" s="26"/>
      <c r="D3" s="26"/>
      <c r="E3" s="27"/>
      <c r="F3" s="28"/>
      <c r="G3" s="29"/>
      <c r="H3" s="30">
        <f>G12</f>
        <v>4800</v>
      </c>
    </row>
    <row r="4" spans="1:8" ht="12.75">
      <c r="A4" s="24">
        <v>3</v>
      </c>
      <c r="B4" s="25" t="s">
        <v>64</v>
      </c>
      <c r="C4" s="26"/>
      <c r="D4" s="26"/>
      <c r="E4" s="27"/>
      <c r="F4" s="28"/>
      <c r="G4" s="29"/>
      <c r="H4" s="30">
        <f>F12*2</f>
        <v>6600</v>
      </c>
    </row>
    <row r="5" spans="1:10" ht="12.75">
      <c r="A5" s="24">
        <v>4</v>
      </c>
      <c r="B5" s="25" t="s">
        <v>83</v>
      </c>
      <c r="C5" s="26"/>
      <c r="D5" s="26"/>
      <c r="E5" s="27"/>
      <c r="F5" s="28"/>
      <c r="G5" s="29"/>
      <c r="H5" s="30">
        <f>G12*2</f>
        <v>9600</v>
      </c>
      <c r="J5" s="31"/>
    </row>
    <row r="6" spans="1:8" ht="12.75">
      <c r="A6" s="24">
        <v>5</v>
      </c>
      <c r="B6" s="25" t="s">
        <v>84</v>
      </c>
      <c r="C6" s="26"/>
      <c r="D6" s="26"/>
      <c r="E6" s="26"/>
      <c r="F6" s="26"/>
      <c r="G6" s="26"/>
      <c r="H6" s="30">
        <f>F12</f>
        <v>3300</v>
      </c>
    </row>
    <row r="7" spans="1:8" ht="12.75">
      <c r="A7" s="24">
        <v>6</v>
      </c>
      <c r="B7" s="25" t="s">
        <v>85</v>
      </c>
      <c r="C7" s="26"/>
      <c r="D7" s="26"/>
      <c r="E7" s="26"/>
      <c r="F7" s="26"/>
      <c r="G7" s="26"/>
      <c r="H7" s="30">
        <f>G12</f>
        <v>4800</v>
      </c>
    </row>
    <row r="8" spans="1:8" ht="12.75">
      <c r="A8" s="24">
        <v>7</v>
      </c>
      <c r="B8" s="25" t="s">
        <v>86</v>
      </c>
      <c r="C8" s="26"/>
      <c r="D8" s="26"/>
      <c r="E8" s="26"/>
      <c r="F8" s="26"/>
      <c r="G8" s="26"/>
      <c r="H8" s="30">
        <f>F12</f>
        <v>3300</v>
      </c>
    </row>
    <row r="9" spans="1:14" ht="12.75">
      <c r="A9" s="24">
        <v>8</v>
      </c>
      <c r="B9" s="25" t="s">
        <v>99</v>
      </c>
      <c r="C9" s="26"/>
      <c r="D9" s="26"/>
      <c r="E9" s="26"/>
      <c r="F9" s="26"/>
      <c r="G9" s="26"/>
      <c r="H9" s="30">
        <f>G12</f>
        <v>4800</v>
      </c>
      <c r="K9" s="31"/>
      <c r="L9" s="31"/>
      <c r="M9" s="12"/>
      <c r="N9" s="12"/>
    </row>
    <row r="10" spans="1:14" ht="12.75">
      <c r="A10" s="24"/>
      <c r="B10" s="32"/>
      <c r="H10" s="31"/>
      <c r="I10" s="33"/>
      <c r="J10" s="33"/>
      <c r="K10" s="34"/>
      <c r="L10" s="31"/>
      <c r="M10" s="12"/>
      <c r="N10" s="12"/>
    </row>
    <row r="11" spans="2:14" ht="12.75">
      <c r="B11" s="35" t="s">
        <v>73</v>
      </c>
      <c r="C11" s="35" t="s">
        <v>74</v>
      </c>
      <c r="F11" s="35" t="s">
        <v>73</v>
      </c>
      <c r="G11" s="35" t="s">
        <v>74</v>
      </c>
      <c r="H11" s="31"/>
      <c r="I11" s="33"/>
      <c r="J11" s="33"/>
      <c r="K11" s="34"/>
      <c r="L11" s="31"/>
      <c r="M11" s="12"/>
      <c r="N11" s="12"/>
    </row>
    <row r="12" spans="1:14" ht="12.75">
      <c r="A12" s="36" t="s">
        <v>60</v>
      </c>
      <c r="B12" s="37">
        <v>4404</v>
      </c>
      <c r="C12" s="38">
        <v>4404</v>
      </c>
      <c r="E12" s="30" t="str">
        <f>un!D3</f>
        <v>Neuchâtel</v>
      </c>
      <c r="F12" s="30">
        <f>VLOOKUP(E12,A12:C17,2)</f>
        <v>3300</v>
      </c>
      <c r="G12" s="30">
        <f>VLOOKUP(E12,A12:C17,3)</f>
        <v>4800</v>
      </c>
      <c r="H12" s="31"/>
      <c r="K12" s="31"/>
      <c r="L12" s="31"/>
      <c r="M12" s="12"/>
      <c r="N12" s="12"/>
    </row>
    <row r="13" spans="1:14" s="10" customFormat="1" ht="12.75">
      <c r="A13" s="36" t="s">
        <v>75</v>
      </c>
      <c r="B13" s="37">
        <v>3840</v>
      </c>
      <c r="C13" s="38">
        <v>3840</v>
      </c>
      <c r="D13" s="33"/>
      <c r="E13" s="33"/>
      <c r="F13" s="23"/>
      <c r="G13" s="23"/>
      <c r="H13" s="31"/>
      <c r="I13" s="33"/>
      <c r="J13" s="33"/>
      <c r="K13" s="23"/>
      <c r="L13" s="23"/>
      <c r="M13" s="11"/>
      <c r="N13" s="11"/>
    </row>
    <row r="14" spans="1:10" ht="12.75">
      <c r="A14" s="36" t="s">
        <v>101</v>
      </c>
      <c r="B14" s="37">
        <v>3600</v>
      </c>
      <c r="C14" s="37">
        <v>5400</v>
      </c>
      <c r="E14" s="33"/>
      <c r="I14" s="33"/>
      <c r="J14" s="33"/>
    </row>
    <row r="15" spans="1:14" s="10" customFormat="1" ht="12.75">
      <c r="A15" s="36" t="s">
        <v>61</v>
      </c>
      <c r="B15" s="37">
        <v>3300</v>
      </c>
      <c r="C15" s="38">
        <v>4800</v>
      </c>
      <c r="D15" s="23"/>
      <c r="E15" s="33"/>
      <c r="F15" s="23"/>
      <c r="G15" s="23"/>
      <c r="H15" s="23"/>
      <c r="I15" s="33"/>
      <c r="J15" s="33"/>
      <c r="K15" s="23"/>
      <c r="L15" s="23"/>
      <c r="M15" s="11"/>
      <c r="N15" s="11"/>
    </row>
    <row r="16" spans="1:14" s="10" customFormat="1" ht="12.75">
      <c r="A16" s="36" t="s">
        <v>62</v>
      </c>
      <c r="B16" s="37">
        <v>4001</v>
      </c>
      <c r="C16" s="38">
        <v>6096</v>
      </c>
      <c r="D16" s="23"/>
      <c r="E16" s="33"/>
      <c r="F16" s="23"/>
      <c r="G16" s="23"/>
      <c r="H16" s="23"/>
      <c r="I16" s="33"/>
      <c r="J16" s="33"/>
      <c r="K16" s="23"/>
      <c r="L16" s="23"/>
      <c r="M16" s="11"/>
      <c r="N16" s="11"/>
    </row>
    <row r="17" spans="1:14" s="10" customFormat="1" ht="12.75">
      <c r="A17" s="36" t="s">
        <v>59</v>
      </c>
      <c r="B17" s="37">
        <v>3300</v>
      </c>
      <c r="C17" s="37">
        <v>3840</v>
      </c>
      <c r="D17" s="23"/>
      <c r="E17" s="33"/>
      <c r="F17" s="23"/>
      <c r="G17" s="23"/>
      <c r="H17" s="23"/>
      <c r="I17" s="33"/>
      <c r="J17" s="33"/>
      <c r="K17" s="23"/>
      <c r="L17" s="23"/>
      <c r="M17" s="11"/>
      <c r="N17" s="11"/>
    </row>
    <row r="18" spans="1:14" s="10" customFormat="1" ht="12.75">
      <c r="A18" s="23"/>
      <c r="B18" s="23"/>
      <c r="C18" s="23"/>
      <c r="D18" s="23"/>
      <c r="E18" s="33"/>
      <c r="F18" s="33"/>
      <c r="G18" s="33"/>
      <c r="H18" s="33"/>
      <c r="I18" s="23"/>
      <c r="J18" s="33"/>
      <c r="K18" s="23"/>
      <c r="L18" s="23"/>
      <c r="M18" s="11"/>
      <c r="N18" s="11"/>
    </row>
    <row r="19" spans="6:10" ht="12.75">
      <c r="F19" s="23" t="s">
        <v>76</v>
      </c>
      <c r="I19" s="33"/>
      <c r="J19" s="33"/>
    </row>
    <row r="20" spans="1:10" ht="12.75">
      <c r="A20" s="22" t="s">
        <v>77</v>
      </c>
      <c r="F20" s="39">
        <f>VLOOKUP(un!D4,B21:H28,7,0)</f>
        <v>20</v>
      </c>
      <c r="H20" s="40" t="str">
        <f>un!D3</f>
        <v>Neuchâtel</v>
      </c>
      <c r="J20" s="24"/>
    </row>
    <row r="21" spans="1:10" ht="12.75">
      <c r="A21" s="36">
        <v>1</v>
      </c>
      <c r="B21" s="25" t="s">
        <v>78</v>
      </c>
      <c r="C21" s="26"/>
      <c r="D21" s="26"/>
      <c r="E21" s="26"/>
      <c r="F21" s="27"/>
      <c r="G21" s="29"/>
      <c r="H21" s="41">
        <f>VLOOKUP($H$20,$A$30:$I$35,2)</f>
        <v>20</v>
      </c>
      <c r="I21" s="31"/>
      <c r="J21" s="42"/>
    </row>
    <row r="22" spans="1:10" ht="12.75">
      <c r="A22" s="36">
        <v>2</v>
      </c>
      <c r="B22" s="25" t="s">
        <v>79</v>
      </c>
      <c r="C22" s="26"/>
      <c r="D22" s="26"/>
      <c r="E22" s="27"/>
      <c r="F22" s="28"/>
      <c r="G22" s="29"/>
      <c r="H22" s="41">
        <f>VLOOKUP($H$20,$A$30:$I$35,3)</f>
        <v>6.66666</v>
      </c>
      <c r="I22" s="31"/>
      <c r="J22" s="42"/>
    </row>
    <row r="23" spans="1:10" ht="12.75">
      <c r="A23" s="36">
        <v>3</v>
      </c>
      <c r="B23" s="25" t="s">
        <v>64</v>
      </c>
      <c r="C23" s="26"/>
      <c r="D23" s="26"/>
      <c r="E23" s="27"/>
      <c r="F23" s="28"/>
      <c r="G23" s="29"/>
      <c r="H23" s="41">
        <f>VLOOKUP($H$20,$A$30:$I$35,4)</f>
        <v>20</v>
      </c>
      <c r="I23" s="31"/>
      <c r="J23" s="42"/>
    </row>
    <row r="24" spans="1:10" ht="12.75">
      <c r="A24" s="36">
        <v>4</v>
      </c>
      <c r="B24" s="25" t="s">
        <v>83</v>
      </c>
      <c r="C24" s="26"/>
      <c r="D24" s="26"/>
      <c r="E24" s="27"/>
      <c r="F24" s="28"/>
      <c r="G24" s="29"/>
      <c r="H24" s="41">
        <f>VLOOKUP($H$20,$A$30:$I$35,5)</f>
        <v>6.66666</v>
      </c>
      <c r="I24" s="31"/>
      <c r="J24" s="42"/>
    </row>
    <row r="25" spans="1:10" ht="12.75">
      <c r="A25" s="36">
        <v>5</v>
      </c>
      <c r="B25" s="25" t="s">
        <v>80</v>
      </c>
      <c r="C25" s="26"/>
      <c r="D25" s="26"/>
      <c r="E25" s="26"/>
      <c r="F25" s="26"/>
      <c r="G25" s="26"/>
      <c r="H25" s="41">
        <f>VLOOKUP($H$20,$A$30:$I$35,6)</f>
        <v>10</v>
      </c>
      <c r="I25" s="31"/>
      <c r="J25" s="42"/>
    </row>
    <row r="26" spans="1:10" ht="12.75">
      <c r="A26" s="36">
        <v>6</v>
      </c>
      <c r="B26" s="25" t="s">
        <v>1</v>
      </c>
      <c r="C26" s="26"/>
      <c r="D26" s="26"/>
      <c r="E26" s="26"/>
      <c r="F26" s="26"/>
      <c r="G26" s="26"/>
      <c r="H26" s="41">
        <f>VLOOKUP($H$20,$A$30:$I$35,7)</f>
        <v>6.66666</v>
      </c>
      <c r="I26" s="31"/>
      <c r="J26" s="42"/>
    </row>
    <row r="27" spans="1:10" ht="12.75">
      <c r="A27" s="36">
        <v>7</v>
      </c>
      <c r="B27" s="25" t="s">
        <v>2</v>
      </c>
      <c r="C27" s="26"/>
      <c r="D27" s="26"/>
      <c r="E27" s="26"/>
      <c r="F27" s="26"/>
      <c r="G27" s="26"/>
      <c r="H27" s="41">
        <f>VLOOKUP($H$20,$A$30:$I$35,8)</f>
        <v>6.66666</v>
      </c>
      <c r="I27" s="31"/>
      <c r="J27" s="42"/>
    </row>
    <row r="28" spans="1:10" ht="12.75">
      <c r="A28" s="36">
        <v>8</v>
      </c>
      <c r="B28" s="25" t="s">
        <v>3</v>
      </c>
      <c r="C28" s="26"/>
      <c r="D28" s="26"/>
      <c r="E28" s="26"/>
      <c r="F28" s="26"/>
      <c r="G28" s="26"/>
      <c r="H28" s="41">
        <f>VLOOKUP($H$20,$A$30:$I$35,9)</f>
        <v>6.66666</v>
      </c>
      <c r="I28" s="31"/>
      <c r="J28" s="42"/>
    </row>
    <row r="29" spans="1:10" ht="12.75">
      <c r="A29" s="23" t="s">
        <v>4</v>
      </c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3">
        <v>6</v>
      </c>
      <c r="H29" s="31">
        <v>7</v>
      </c>
      <c r="I29" s="31">
        <v>8</v>
      </c>
      <c r="J29" s="33"/>
    </row>
    <row r="30" spans="1:10" ht="12.75">
      <c r="A30" s="36" t="s">
        <v>60</v>
      </c>
      <c r="B30" s="43">
        <v>20</v>
      </c>
      <c r="C30" s="43">
        <v>20</v>
      </c>
      <c r="D30" s="43">
        <v>20</v>
      </c>
      <c r="E30" s="43">
        <v>20</v>
      </c>
      <c r="F30" s="43">
        <v>20</v>
      </c>
      <c r="G30" s="43">
        <v>20</v>
      </c>
      <c r="H30" s="43">
        <v>20</v>
      </c>
      <c r="I30" s="43">
        <v>20</v>
      </c>
      <c r="J30" s="33"/>
    </row>
    <row r="31" spans="1:10" ht="12.75">
      <c r="A31" s="36" t="s">
        <v>75</v>
      </c>
      <c r="B31" s="43">
        <v>20</v>
      </c>
      <c r="C31" s="43">
        <v>6.66666</v>
      </c>
      <c r="D31" s="43">
        <v>20</v>
      </c>
      <c r="E31" s="43">
        <v>6.66666</v>
      </c>
      <c r="F31" s="43">
        <v>10</v>
      </c>
      <c r="G31" s="43">
        <v>6.66666</v>
      </c>
      <c r="H31" s="43">
        <v>6.66666</v>
      </c>
      <c r="I31" s="43">
        <v>6.66666</v>
      </c>
      <c r="J31" s="33"/>
    </row>
    <row r="32" spans="1:10" ht="12.75">
      <c r="A32" s="36" t="s">
        <v>101</v>
      </c>
      <c r="B32" s="43">
        <v>20</v>
      </c>
      <c r="C32" s="43">
        <v>12.5</v>
      </c>
      <c r="D32" s="43">
        <v>20</v>
      </c>
      <c r="E32" s="43">
        <v>12.5</v>
      </c>
      <c r="F32" s="43">
        <v>10</v>
      </c>
      <c r="G32" s="43">
        <v>10</v>
      </c>
      <c r="H32" s="43">
        <v>6.67</v>
      </c>
      <c r="I32" s="43">
        <v>6.67</v>
      </c>
      <c r="J32" s="33"/>
    </row>
    <row r="33" spans="1:10" ht="12.75">
      <c r="A33" s="36" t="s">
        <v>61</v>
      </c>
      <c r="B33" s="43">
        <v>20</v>
      </c>
      <c r="C33" s="43">
        <v>6.66666</v>
      </c>
      <c r="D33" s="43">
        <v>20</v>
      </c>
      <c r="E33" s="43">
        <v>6.66666</v>
      </c>
      <c r="F33" s="43">
        <v>10</v>
      </c>
      <c r="G33" s="43">
        <v>6.66666</v>
      </c>
      <c r="H33" s="43">
        <v>6.66666</v>
      </c>
      <c r="I33" s="43">
        <v>6.66666</v>
      </c>
      <c r="J33" s="44"/>
    </row>
    <row r="34" spans="1:10" ht="12.75">
      <c r="A34" s="36" t="s">
        <v>62</v>
      </c>
      <c r="B34" s="43">
        <v>20</v>
      </c>
      <c r="C34" s="43">
        <v>10</v>
      </c>
      <c r="D34" s="43">
        <v>20</v>
      </c>
      <c r="E34" s="43">
        <v>10</v>
      </c>
      <c r="F34" s="43">
        <v>10</v>
      </c>
      <c r="G34" s="43">
        <v>10</v>
      </c>
      <c r="H34" s="43">
        <v>6.66666</v>
      </c>
      <c r="I34" s="43">
        <v>6.66666</v>
      </c>
      <c r="J34" s="33"/>
    </row>
    <row r="35" spans="1:14" s="10" customFormat="1" ht="12.75">
      <c r="A35" s="36" t="s">
        <v>59</v>
      </c>
      <c r="B35" s="43">
        <v>20</v>
      </c>
      <c r="C35" s="43">
        <v>6.66666</v>
      </c>
      <c r="D35" s="43">
        <v>20</v>
      </c>
      <c r="E35" s="43">
        <v>6.66666</v>
      </c>
      <c r="F35" s="43">
        <v>10</v>
      </c>
      <c r="G35" s="43">
        <v>6.66666</v>
      </c>
      <c r="H35" s="43">
        <v>6.66666</v>
      </c>
      <c r="I35" s="43">
        <v>6.66666</v>
      </c>
      <c r="J35" s="33"/>
      <c r="K35" s="23"/>
      <c r="L35" s="23"/>
      <c r="M35" s="11"/>
      <c r="N35" s="11"/>
    </row>
    <row r="36" spans="1:14" s="10" customFormat="1" ht="12.75">
      <c r="A36" s="24"/>
      <c r="B36" s="45"/>
      <c r="C36" s="45"/>
      <c r="D36" s="23"/>
      <c r="E36" s="33"/>
      <c r="F36" s="23"/>
      <c r="G36" s="23"/>
      <c r="H36" s="23"/>
      <c r="I36" s="33"/>
      <c r="J36" s="33"/>
      <c r="K36" s="23"/>
      <c r="L36" s="23"/>
      <c r="M36" s="11"/>
      <c r="N36" s="11"/>
    </row>
    <row r="37" spans="1:14" s="10" customFormat="1" ht="12.75">
      <c r="A37" s="24"/>
      <c r="B37" s="45"/>
      <c r="C37" s="45"/>
      <c r="D37" s="23"/>
      <c r="E37" s="33"/>
      <c r="F37" s="23" t="s">
        <v>5</v>
      </c>
      <c r="G37" s="23"/>
      <c r="H37" s="46" t="s">
        <v>6</v>
      </c>
      <c r="I37" s="33" t="s">
        <v>7</v>
      </c>
      <c r="J37" s="23" t="s">
        <v>8</v>
      </c>
      <c r="K37" s="23"/>
      <c r="L37" s="23"/>
      <c r="M37" s="11"/>
      <c r="N37" s="11"/>
    </row>
    <row r="38" spans="1:14" s="10" customFormat="1" ht="12.75">
      <c r="A38" s="22" t="s">
        <v>9</v>
      </c>
      <c r="B38" s="23"/>
      <c r="C38" s="23"/>
      <c r="D38" s="23"/>
      <c r="E38" s="23"/>
      <c r="F38" s="31">
        <f>VLOOKUP(un!D4,B39:H46,7,0)</f>
        <v>37500</v>
      </c>
      <c r="G38" s="23"/>
      <c r="H38" s="31"/>
      <c r="I38" s="33" t="s">
        <v>10</v>
      </c>
      <c r="J38" s="31">
        <f>VLOOKUP(un!D4,B39:I46,8,0)</f>
        <v>200000</v>
      </c>
      <c r="K38" s="23"/>
      <c r="L38" s="23"/>
      <c r="M38" s="11"/>
      <c r="N38" s="11"/>
    </row>
    <row r="39" spans="1:14" s="10" customFormat="1" ht="12.75">
      <c r="A39" s="36">
        <v>1</v>
      </c>
      <c r="B39" s="25" t="s">
        <v>78</v>
      </c>
      <c r="C39" s="26"/>
      <c r="D39" s="26"/>
      <c r="E39" s="27"/>
      <c r="F39" s="28"/>
      <c r="G39" s="29"/>
      <c r="H39" s="30">
        <v>37500</v>
      </c>
      <c r="I39" s="30">
        <v>200000</v>
      </c>
      <c r="J39" s="33"/>
      <c r="K39" s="23"/>
      <c r="L39" s="23"/>
      <c r="M39" s="11"/>
      <c r="N39" s="11"/>
    </row>
    <row r="40" spans="1:14" s="10" customFormat="1" ht="12.75">
      <c r="A40" s="36">
        <v>2</v>
      </c>
      <c r="B40" s="25" t="s">
        <v>79</v>
      </c>
      <c r="C40" s="26"/>
      <c r="D40" s="26"/>
      <c r="E40" s="27"/>
      <c r="F40" s="28"/>
      <c r="G40" s="29"/>
      <c r="H40" s="30">
        <v>37500</v>
      </c>
      <c r="I40" s="30">
        <v>200000</v>
      </c>
      <c r="J40" s="33"/>
      <c r="K40" s="23"/>
      <c r="L40" s="23"/>
      <c r="M40" s="11"/>
      <c r="N40" s="11"/>
    </row>
    <row r="41" spans="1:14" s="10" customFormat="1" ht="12.75">
      <c r="A41" s="36">
        <v>3</v>
      </c>
      <c r="B41" s="25" t="s">
        <v>64</v>
      </c>
      <c r="C41" s="26"/>
      <c r="D41" s="26"/>
      <c r="E41" s="27"/>
      <c r="F41" s="28"/>
      <c r="G41" s="29"/>
      <c r="H41" s="30">
        <v>60000</v>
      </c>
      <c r="I41" s="30">
        <v>400000</v>
      </c>
      <c r="J41" s="33"/>
      <c r="K41" s="47"/>
      <c r="L41" s="47"/>
      <c r="M41" s="13"/>
      <c r="N41" s="13"/>
    </row>
    <row r="42" spans="1:14" s="10" customFormat="1" ht="12.75">
      <c r="A42" s="36">
        <v>4</v>
      </c>
      <c r="B42" s="25" t="s">
        <v>83</v>
      </c>
      <c r="C42" s="26"/>
      <c r="D42" s="26"/>
      <c r="E42" s="27"/>
      <c r="F42" s="28"/>
      <c r="G42" s="29"/>
      <c r="H42" s="30">
        <v>60000</v>
      </c>
      <c r="I42" s="30">
        <v>400000</v>
      </c>
      <c r="J42" s="33"/>
      <c r="K42" s="23"/>
      <c r="L42" s="23"/>
      <c r="M42" s="11"/>
      <c r="N42" s="11"/>
    </row>
    <row r="43" spans="1:14" s="10" customFormat="1" ht="12.75">
      <c r="A43" s="36">
        <v>5</v>
      </c>
      <c r="B43" s="25" t="s">
        <v>80</v>
      </c>
      <c r="C43" s="26"/>
      <c r="D43" s="26"/>
      <c r="E43" s="26"/>
      <c r="F43" s="26"/>
      <c r="G43" s="26"/>
      <c r="H43" s="30">
        <v>60000</v>
      </c>
      <c r="I43" s="30">
        <v>400000</v>
      </c>
      <c r="J43" s="33"/>
      <c r="K43" s="23"/>
      <c r="L43" s="23"/>
      <c r="M43" s="11"/>
      <c r="N43" s="11"/>
    </row>
    <row r="44" spans="1:14" s="10" customFormat="1" ht="12.75">
      <c r="A44" s="36">
        <v>6</v>
      </c>
      <c r="B44" s="25" t="s">
        <v>1</v>
      </c>
      <c r="C44" s="26"/>
      <c r="D44" s="26"/>
      <c r="E44" s="26"/>
      <c r="F44" s="26"/>
      <c r="G44" s="26"/>
      <c r="H44" s="30">
        <v>60000</v>
      </c>
      <c r="I44" s="30">
        <v>400000</v>
      </c>
      <c r="J44" s="33"/>
      <c r="K44" s="23"/>
      <c r="L44" s="23"/>
      <c r="M44" s="11"/>
      <c r="N44" s="11"/>
    </row>
    <row r="45" spans="1:14" s="10" customFormat="1" ht="12.75">
      <c r="A45" s="36">
        <v>7</v>
      </c>
      <c r="B45" s="25" t="s">
        <v>2</v>
      </c>
      <c r="C45" s="26"/>
      <c r="D45" s="26"/>
      <c r="E45" s="26"/>
      <c r="F45" s="26"/>
      <c r="G45" s="26"/>
      <c r="H45" s="30">
        <v>60000</v>
      </c>
      <c r="I45" s="30">
        <v>400000</v>
      </c>
      <c r="J45" s="33"/>
      <c r="K45" s="23"/>
      <c r="L45" s="23"/>
      <c r="M45" s="11"/>
      <c r="N45" s="11"/>
    </row>
    <row r="46" spans="1:14" s="10" customFormat="1" ht="12.75">
      <c r="A46" s="36">
        <v>8</v>
      </c>
      <c r="B46" s="25" t="s">
        <v>3</v>
      </c>
      <c r="C46" s="26"/>
      <c r="D46" s="26"/>
      <c r="E46" s="26"/>
      <c r="F46" s="26"/>
      <c r="G46" s="26"/>
      <c r="H46" s="30">
        <v>60000</v>
      </c>
      <c r="I46" s="30">
        <v>400000</v>
      </c>
      <c r="J46" s="33"/>
      <c r="K46" s="23"/>
      <c r="L46" s="23"/>
      <c r="M46" s="11"/>
      <c r="N46" s="11"/>
    </row>
    <row r="47" spans="1:14" s="10" customFormat="1" ht="12.75">
      <c r="A47" s="48"/>
      <c r="B47" s="49"/>
      <c r="C47" s="49"/>
      <c r="D47" s="50"/>
      <c r="E47" s="51"/>
      <c r="F47" s="50"/>
      <c r="G47" s="50"/>
      <c r="H47" s="52"/>
      <c r="I47" s="51"/>
      <c r="J47" s="33"/>
      <c r="K47" s="23"/>
      <c r="L47" s="23"/>
      <c r="M47" s="11"/>
      <c r="N47" s="11"/>
    </row>
    <row r="48" spans="1:12" s="10" customFormat="1" ht="12.75">
      <c r="A48" s="24"/>
      <c r="B48" s="45"/>
      <c r="C48" s="45"/>
      <c r="D48" s="23"/>
      <c r="E48" s="33"/>
      <c r="F48" s="23"/>
      <c r="G48" s="23"/>
      <c r="H48" s="32"/>
      <c r="I48" s="33"/>
      <c r="J48" s="33"/>
      <c r="K48" s="33"/>
      <c r="L48" s="33"/>
    </row>
    <row r="49" spans="1:12" s="10" customFormat="1" ht="12.75">
      <c r="A49" s="22" t="s">
        <v>11</v>
      </c>
      <c r="B49" s="23"/>
      <c r="C49" s="23"/>
      <c r="D49" s="23"/>
      <c r="E49" s="23"/>
      <c r="F49" s="23" t="s">
        <v>12</v>
      </c>
      <c r="G49" s="33"/>
      <c r="H49" s="32"/>
      <c r="I49" s="33"/>
      <c r="J49" s="33"/>
      <c r="K49" s="33"/>
      <c r="L49" s="33"/>
    </row>
    <row r="50" spans="1:16" s="10" customFormat="1" ht="39">
      <c r="A50" s="53" t="s">
        <v>56</v>
      </c>
      <c r="B50" s="53" t="s">
        <v>94</v>
      </c>
      <c r="C50" s="53" t="s">
        <v>51</v>
      </c>
      <c r="D50" s="53" t="s">
        <v>91</v>
      </c>
      <c r="E50" s="53" t="s">
        <v>92</v>
      </c>
      <c r="F50" s="54">
        <f>D51-avs-pc-rev</f>
        <v>13000</v>
      </c>
      <c r="G50" s="53" t="s">
        <v>13</v>
      </c>
      <c r="H50" s="33"/>
      <c r="I50" s="33"/>
      <c r="J50" s="23"/>
      <c r="K50" s="23"/>
      <c r="L50" s="23"/>
      <c r="M50" s="11"/>
      <c r="N50" s="11"/>
      <c r="O50" s="11"/>
      <c r="P50" s="11"/>
    </row>
    <row r="51" spans="1:19" s="14" customFormat="1" ht="13.5" customHeight="1">
      <c r="A51" s="26">
        <f>ems</f>
        <v>2015</v>
      </c>
      <c r="B51" s="55">
        <f>(dona-ded)-(((ems-an)-1)*10000)-fortu</f>
        <v>372500</v>
      </c>
      <c r="C51" s="55">
        <f>avs+pc+rev+(B51*(imput+0.5)%)</f>
        <v>120362.5</v>
      </c>
      <c r="D51" s="55">
        <f>pen+dffp</f>
        <v>57000</v>
      </c>
      <c r="E51" s="55">
        <f>C51-D51</f>
        <v>63362.5</v>
      </c>
      <c r="F51" s="55">
        <f>IF(E51&gt;part1,part1,E51)</f>
        <v>13000</v>
      </c>
      <c r="G51" s="55">
        <f>IF(F51&gt;0,F51,0)</f>
        <v>13000</v>
      </c>
      <c r="H51" s="33"/>
      <c r="I51" s="56"/>
      <c r="J51" s="57"/>
      <c r="K51" s="57"/>
      <c r="L51" s="57"/>
      <c r="Q51" s="10"/>
      <c r="R51" s="10"/>
      <c r="S51" s="10"/>
    </row>
    <row r="52" spans="1:16" s="10" customFormat="1" ht="12.75">
      <c r="A52" s="26">
        <f>A51+1</f>
        <v>2016</v>
      </c>
      <c r="B52" s="55">
        <f>B51-10000-G51</f>
        <v>349500</v>
      </c>
      <c r="C52" s="55">
        <f aca="true" t="shared" si="0" ref="C52:C71">avs+pc+rev+(B52*(imput+0.5)%)</f>
        <v>115647.5</v>
      </c>
      <c r="D52" s="55">
        <f>D51</f>
        <v>57000</v>
      </c>
      <c r="E52" s="55">
        <f>C52-D52</f>
        <v>58647.5</v>
      </c>
      <c r="F52" s="55">
        <f aca="true" t="shared" si="1" ref="F52:F71">IF(E52&gt;part1,part1,E52)</f>
        <v>13000</v>
      </c>
      <c r="G52" s="55">
        <f aca="true" t="shared" si="2" ref="G52:G71">IF(F52&gt;0,F52,0)</f>
        <v>13000</v>
      </c>
      <c r="H52" s="33"/>
      <c r="I52" s="33"/>
      <c r="J52" s="23"/>
      <c r="K52" s="23"/>
      <c r="L52" s="23"/>
      <c r="M52" s="11"/>
      <c r="N52" s="11"/>
      <c r="O52" s="11"/>
      <c r="P52" s="11"/>
    </row>
    <row r="53" spans="1:16" s="10" customFormat="1" ht="12.75">
      <c r="A53" s="26">
        <f aca="true" t="shared" si="3" ref="A53:A71">A52+1</f>
        <v>2017</v>
      </c>
      <c r="B53" s="55">
        <f aca="true" t="shared" si="4" ref="B53:B71">B52-10000-G52</f>
        <v>326500</v>
      </c>
      <c r="C53" s="55">
        <f t="shared" si="0"/>
        <v>110932.5</v>
      </c>
      <c r="D53" s="55">
        <f aca="true" t="shared" si="5" ref="D53:D71">D52</f>
        <v>57000</v>
      </c>
      <c r="E53" s="55">
        <f aca="true" t="shared" si="6" ref="E53:E71">C53-D53</f>
        <v>53932.5</v>
      </c>
      <c r="F53" s="55">
        <f t="shared" si="1"/>
        <v>13000</v>
      </c>
      <c r="G53" s="55">
        <f t="shared" si="2"/>
        <v>13000</v>
      </c>
      <c r="H53" s="33"/>
      <c r="I53" s="33"/>
      <c r="J53" s="23"/>
      <c r="K53" s="23"/>
      <c r="L53" s="23"/>
      <c r="M53" s="11"/>
      <c r="N53" s="11"/>
      <c r="O53" s="11"/>
      <c r="P53" s="11"/>
    </row>
    <row r="54" spans="1:16" s="10" customFormat="1" ht="12.75">
      <c r="A54" s="26">
        <f t="shared" si="3"/>
        <v>2018</v>
      </c>
      <c r="B54" s="55">
        <f t="shared" si="4"/>
        <v>303500</v>
      </c>
      <c r="C54" s="55">
        <f t="shared" si="0"/>
        <v>106217.5</v>
      </c>
      <c r="D54" s="55">
        <f t="shared" si="5"/>
        <v>57000</v>
      </c>
      <c r="E54" s="55">
        <f t="shared" si="6"/>
        <v>49217.5</v>
      </c>
      <c r="F54" s="55">
        <f t="shared" si="1"/>
        <v>13000</v>
      </c>
      <c r="G54" s="55">
        <f t="shared" si="2"/>
        <v>13000</v>
      </c>
      <c r="H54" s="33"/>
      <c r="I54" s="33"/>
      <c r="J54" s="23"/>
      <c r="K54" s="23"/>
      <c r="L54" s="23"/>
      <c r="M54" s="11"/>
      <c r="N54" s="11"/>
      <c r="O54" s="11"/>
      <c r="P54" s="11"/>
    </row>
    <row r="55" spans="1:16" s="10" customFormat="1" ht="12.75">
      <c r="A55" s="26">
        <f t="shared" si="3"/>
        <v>2019</v>
      </c>
      <c r="B55" s="55">
        <f t="shared" si="4"/>
        <v>280500</v>
      </c>
      <c r="C55" s="55">
        <f t="shared" si="0"/>
        <v>101502.5</v>
      </c>
      <c r="D55" s="55">
        <f t="shared" si="5"/>
        <v>57000</v>
      </c>
      <c r="E55" s="55">
        <f t="shared" si="6"/>
        <v>44502.5</v>
      </c>
      <c r="F55" s="55">
        <f t="shared" si="1"/>
        <v>13000</v>
      </c>
      <c r="G55" s="55">
        <f t="shared" si="2"/>
        <v>13000</v>
      </c>
      <c r="H55" s="33"/>
      <c r="I55" s="33"/>
      <c r="J55" s="23"/>
      <c r="K55" s="23"/>
      <c r="L55" s="23"/>
      <c r="M55" s="11"/>
      <c r="N55" s="11"/>
      <c r="O55" s="11"/>
      <c r="P55" s="11"/>
    </row>
    <row r="56" spans="1:16" s="10" customFormat="1" ht="12.75">
      <c r="A56" s="26">
        <f t="shared" si="3"/>
        <v>2020</v>
      </c>
      <c r="B56" s="55">
        <f t="shared" si="4"/>
        <v>257500</v>
      </c>
      <c r="C56" s="55">
        <f t="shared" si="0"/>
        <v>96787.5</v>
      </c>
      <c r="D56" s="55">
        <f t="shared" si="5"/>
        <v>57000</v>
      </c>
      <c r="E56" s="55">
        <f t="shared" si="6"/>
        <v>39787.5</v>
      </c>
      <c r="F56" s="55">
        <f t="shared" si="1"/>
        <v>13000</v>
      </c>
      <c r="G56" s="55">
        <f t="shared" si="2"/>
        <v>13000</v>
      </c>
      <c r="H56" s="33"/>
      <c r="I56" s="33"/>
      <c r="J56" s="23"/>
      <c r="K56" s="23"/>
      <c r="L56" s="33"/>
      <c r="P56" s="11"/>
    </row>
    <row r="57" spans="1:16" s="10" customFormat="1" ht="12.75">
      <c r="A57" s="26">
        <f t="shared" si="3"/>
        <v>2021</v>
      </c>
      <c r="B57" s="55">
        <f t="shared" si="4"/>
        <v>234500</v>
      </c>
      <c r="C57" s="55">
        <f t="shared" si="0"/>
        <v>92072.5</v>
      </c>
      <c r="D57" s="55">
        <f t="shared" si="5"/>
        <v>57000</v>
      </c>
      <c r="E57" s="55">
        <f t="shared" si="6"/>
        <v>35072.5</v>
      </c>
      <c r="F57" s="55">
        <f t="shared" si="1"/>
        <v>13000</v>
      </c>
      <c r="G57" s="55">
        <f t="shared" si="2"/>
        <v>13000</v>
      </c>
      <c r="H57" s="33"/>
      <c r="I57" s="33"/>
      <c r="J57" s="23"/>
      <c r="K57" s="23"/>
      <c r="L57" s="33"/>
      <c r="P57" s="11"/>
    </row>
    <row r="58" spans="1:12" s="10" customFormat="1" ht="12.75">
      <c r="A58" s="26">
        <f t="shared" si="3"/>
        <v>2022</v>
      </c>
      <c r="B58" s="55">
        <f t="shared" si="4"/>
        <v>211500</v>
      </c>
      <c r="C58" s="55">
        <f t="shared" si="0"/>
        <v>87357.5</v>
      </c>
      <c r="D58" s="55">
        <f t="shared" si="5"/>
        <v>57000</v>
      </c>
      <c r="E58" s="55">
        <f t="shared" si="6"/>
        <v>30357.5</v>
      </c>
      <c r="F58" s="55">
        <f t="shared" si="1"/>
        <v>13000</v>
      </c>
      <c r="G58" s="55">
        <f t="shared" si="2"/>
        <v>13000</v>
      </c>
      <c r="H58" s="33"/>
      <c r="I58" s="33"/>
      <c r="J58" s="23"/>
      <c r="K58" s="23"/>
      <c r="L58" s="33"/>
    </row>
    <row r="59" spans="1:12" s="10" customFormat="1" ht="12.75">
      <c r="A59" s="26">
        <f t="shared" si="3"/>
        <v>2023</v>
      </c>
      <c r="B59" s="55">
        <f t="shared" si="4"/>
        <v>188500</v>
      </c>
      <c r="C59" s="55">
        <f t="shared" si="0"/>
        <v>82642.5</v>
      </c>
      <c r="D59" s="55">
        <f t="shared" si="5"/>
        <v>57000</v>
      </c>
      <c r="E59" s="55">
        <f t="shared" si="6"/>
        <v>25642.5</v>
      </c>
      <c r="F59" s="55">
        <f t="shared" si="1"/>
        <v>13000</v>
      </c>
      <c r="G59" s="55">
        <f t="shared" si="2"/>
        <v>13000</v>
      </c>
      <c r="H59" s="33"/>
      <c r="I59" s="33"/>
      <c r="J59" s="23"/>
      <c r="K59" s="23"/>
      <c r="L59" s="33"/>
    </row>
    <row r="60" spans="1:12" s="10" customFormat="1" ht="12.75">
      <c r="A60" s="26">
        <f t="shared" si="3"/>
        <v>2024</v>
      </c>
      <c r="B60" s="55">
        <f t="shared" si="4"/>
        <v>165500</v>
      </c>
      <c r="C60" s="55">
        <f t="shared" si="0"/>
        <v>77927.5</v>
      </c>
      <c r="D60" s="55">
        <f t="shared" si="5"/>
        <v>57000</v>
      </c>
      <c r="E60" s="55">
        <f t="shared" si="6"/>
        <v>20927.5</v>
      </c>
      <c r="F60" s="55">
        <f t="shared" si="1"/>
        <v>13000</v>
      </c>
      <c r="G60" s="55">
        <f t="shared" si="2"/>
        <v>13000</v>
      </c>
      <c r="H60" s="33"/>
      <c r="I60" s="33"/>
      <c r="J60" s="23"/>
      <c r="K60" s="23"/>
      <c r="L60" s="33"/>
    </row>
    <row r="61" spans="1:12" s="10" customFormat="1" ht="12.75">
      <c r="A61" s="26">
        <f t="shared" si="3"/>
        <v>2025</v>
      </c>
      <c r="B61" s="55">
        <f t="shared" si="4"/>
        <v>142500</v>
      </c>
      <c r="C61" s="55">
        <f t="shared" si="0"/>
        <v>73212.5</v>
      </c>
      <c r="D61" s="55">
        <f t="shared" si="5"/>
        <v>57000</v>
      </c>
      <c r="E61" s="55">
        <f t="shared" si="6"/>
        <v>16212.5</v>
      </c>
      <c r="F61" s="55">
        <f t="shared" si="1"/>
        <v>13000</v>
      </c>
      <c r="G61" s="55">
        <f t="shared" si="2"/>
        <v>13000</v>
      </c>
      <c r="H61" s="33"/>
      <c r="I61" s="33"/>
      <c r="J61" s="23"/>
      <c r="K61" s="23"/>
      <c r="L61" s="33"/>
    </row>
    <row r="62" spans="1:12" s="10" customFormat="1" ht="12.75">
      <c r="A62" s="26">
        <f t="shared" si="3"/>
        <v>2026</v>
      </c>
      <c r="B62" s="55">
        <f t="shared" si="4"/>
        <v>119500</v>
      </c>
      <c r="C62" s="55">
        <f t="shared" si="0"/>
        <v>68497.5</v>
      </c>
      <c r="D62" s="55">
        <f t="shared" si="5"/>
        <v>57000</v>
      </c>
      <c r="E62" s="55">
        <f t="shared" si="6"/>
        <v>11497.5</v>
      </c>
      <c r="F62" s="55">
        <f t="shared" si="1"/>
        <v>11497.5</v>
      </c>
      <c r="G62" s="55">
        <f t="shared" si="2"/>
        <v>11497.5</v>
      </c>
      <c r="H62" s="33"/>
      <c r="I62" s="33"/>
      <c r="J62" s="33"/>
      <c r="K62" s="33"/>
      <c r="L62" s="33"/>
    </row>
    <row r="63" spans="1:12" s="10" customFormat="1" ht="12.75">
      <c r="A63" s="26">
        <f t="shared" si="3"/>
        <v>2027</v>
      </c>
      <c r="B63" s="55">
        <f t="shared" si="4"/>
        <v>98002.5</v>
      </c>
      <c r="C63" s="55">
        <f t="shared" si="0"/>
        <v>64090.5125</v>
      </c>
      <c r="D63" s="55">
        <f t="shared" si="5"/>
        <v>57000</v>
      </c>
      <c r="E63" s="55">
        <f t="shared" si="6"/>
        <v>7090.512499999997</v>
      </c>
      <c r="F63" s="55">
        <f t="shared" si="1"/>
        <v>7090.512499999997</v>
      </c>
      <c r="G63" s="55">
        <f t="shared" si="2"/>
        <v>7090.512499999997</v>
      </c>
      <c r="H63" s="33"/>
      <c r="I63" s="33"/>
      <c r="J63" s="23"/>
      <c r="K63" s="23"/>
      <c r="L63" s="33"/>
    </row>
    <row r="64" spans="1:12" s="10" customFormat="1" ht="12.75">
      <c r="A64" s="26">
        <f t="shared" si="3"/>
        <v>2028</v>
      </c>
      <c r="B64" s="55">
        <f t="shared" si="4"/>
        <v>80911.9875</v>
      </c>
      <c r="C64" s="55">
        <f t="shared" si="0"/>
        <v>60586.9574375</v>
      </c>
      <c r="D64" s="55">
        <f t="shared" si="5"/>
        <v>57000</v>
      </c>
      <c r="E64" s="55">
        <f t="shared" si="6"/>
        <v>3586.957437500001</v>
      </c>
      <c r="F64" s="55">
        <f t="shared" si="1"/>
        <v>3586.957437500001</v>
      </c>
      <c r="G64" s="55">
        <f t="shared" si="2"/>
        <v>3586.957437500001</v>
      </c>
      <c r="H64" s="33"/>
      <c r="I64" s="33"/>
      <c r="J64" s="33"/>
      <c r="K64" s="33"/>
      <c r="L64" s="33"/>
    </row>
    <row r="65" spans="1:12" s="10" customFormat="1" ht="12.75">
      <c r="A65" s="26">
        <f t="shared" si="3"/>
        <v>2029</v>
      </c>
      <c r="B65" s="55">
        <f t="shared" si="4"/>
        <v>67325.03006250001</v>
      </c>
      <c r="C65" s="55">
        <f t="shared" si="0"/>
        <v>57801.6311628125</v>
      </c>
      <c r="D65" s="55">
        <f t="shared" si="5"/>
        <v>57000</v>
      </c>
      <c r="E65" s="55">
        <f t="shared" si="6"/>
        <v>801.6311628124968</v>
      </c>
      <c r="F65" s="55">
        <f t="shared" si="1"/>
        <v>801.6311628124968</v>
      </c>
      <c r="G65" s="55">
        <f t="shared" si="2"/>
        <v>801.6311628124968</v>
      </c>
      <c r="H65" s="33"/>
      <c r="I65" s="33"/>
      <c r="J65" s="23"/>
      <c r="K65" s="23"/>
      <c r="L65" s="33"/>
    </row>
    <row r="66" spans="1:12" s="10" customFormat="1" ht="12.75">
      <c r="A66" s="26">
        <f t="shared" si="3"/>
        <v>2030</v>
      </c>
      <c r="B66" s="55">
        <f t="shared" si="4"/>
        <v>56523.39889968751</v>
      </c>
      <c r="C66" s="55">
        <f t="shared" si="0"/>
        <v>55587.29677443594</v>
      </c>
      <c r="D66" s="55">
        <f t="shared" si="5"/>
        <v>57000</v>
      </c>
      <c r="E66" s="55">
        <f t="shared" si="6"/>
        <v>-1412.7032255640588</v>
      </c>
      <c r="F66" s="55">
        <f t="shared" si="1"/>
        <v>-1412.7032255640588</v>
      </c>
      <c r="G66" s="55">
        <f t="shared" si="2"/>
        <v>0</v>
      </c>
      <c r="H66" s="33"/>
      <c r="I66" s="33"/>
      <c r="J66" s="33"/>
      <c r="K66" s="33"/>
      <c r="L66" s="33"/>
    </row>
    <row r="67" spans="1:16" s="10" customFormat="1" ht="12.75">
      <c r="A67" s="26">
        <f t="shared" si="3"/>
        <v>2031</v>
      </c>
      <c r="B67" s="55">
        <f t="shared" si="4"/>
        <v>46523.39889968751</v>
      </c>
      <c r="C67" s="55">
        <f t="shared" si="0"/>
        <v>53537.29677443594</v>
      </c>
      <c r="D67" s="55">
        <f t="shared" si="5"/>
        <v>57000</v>
      </c>
      <c r="E67" s="55">
        <f t="shared" si="6"/>
        <v>-3462.703225564059</v>
      </c>
      <c r="F67" s="55">
        <f t="shared" si="1"/>
        <v>-3462.703225564059</v>
      </c>
      <c r="G67" s="55">
        <f t="shared" si="2"/>
        <v>0</v>
      </c>
      <c r="H67" s="33"/>
      <c r="I67" s="33"/>
      <c r="J67" s="23"/>
      <c r="K67" s="23"/>
      <c r="L67" s="33"/>
      <c r="P67" s="11"/>
    </row>
    <row r="68" spans="1:16" s="10" customFormat="1" ht="12.75">
      <c r="A68" s="26">
        <f t="shared" si="3"/>
        <v>2032</v>
      </c>
      <c r="B68" s="55">
        <f t="shared" si="4"/>
        <v>36523.39889968751</v>
      </c>
      <c r="C68" s="55">
        <f t="shared" si="0"/>
        <v>51487.29677443594</v>
      </c>
      <c r="D68" s="55">
        <f t="shared" si="5"/>
        <v>57000</v>
      </c>
      <c r="E68" s="55">
        <f t="shared" si="6"/>
        <v>-5512.703225564059</v>
      </c>
      <c r="F68" s="55">
        <f t="shared" si="1"/>
        <v>-5512.703225564059</v>
      </c>
      <c r="G68" s="55">
        <f t="shared" si="2"/>
        <v>0</v>
      </c>
      <c r="H68" s="33"/>
      <c r="I68" s="33"/>
      <c r="J68" s="23"/>
      <c r="K68" s="23"/>
      <c r="L68" s="33"/>
      <c r="P68" s="11"/>
    </row>
    <row r="69" spans="1:19" ht="12.75">
      <c r="A69" s="26">
        <f t="shared" si="3"/>
        <v>2033</v>
      </c>
      <c r="B69" s="55">
        <f t="shared" si="4"/>
        <v>26523.398899687512</v>
      </c>
      <c r="C69" s="55">
        <f t="shared" si="0"/>
        <v>49437.29677443594</v>
      </c>
      <c r="D69" s="55">
        <f t="shared" si="5"/>
        <v>57000</v>
      </c>
      <c r="E69" s="55">
        <f t="shared" si="6"/>
        <v>-7562.703225564059</v>
      </c>
      <c r="F69" s="55">
        <f t="shared" si="1"/>
        <v>-7562.703225564059</v>
      </c>
      <c r="G69" s="55">
        <f t="shared" si="2"/>
        <v>0</v>
      </c>
      <c r="H69" s="33"/>
      <c r="I69" s="33"/>
      <c r="L69" s="33"/>
      <c r="M69" s="10"/>
      <c r="N69" s="10"/>
      <c r="O69" s="10"/>
      <c r="Q69" s="10"/>
      <c r="R69" s="10"/>
      <c r="S69" s="10"/>
    </row>
    <row r="70" spans="1:19" ht="12.75">
      <c r="A70" s="26">
        <f t="shared" si="3"/>
        <v>2034</v>
      </c>
      <c r="B70" s="55">
        <f t="shared" si="4"/>
        <v>16523.398899687512</v>
      </c>
      <c r="C70" s="55">
        <f t="shared" si="0"/>
        <v>47387.29677443594</v>
      </c>
      <c r="D70" s="55">
        <f t="shared" si="5"/>
        <v>57000</v>
      </c>
      <c r="E70" s="55">
        <f t="shared" si="6"/>
        <v>-9612.703225564059</v>
      </c>
      <c r="F70" s="55">
        <f t="shared" si="1"/>
        <v>-9612.703225564059</v>
      </c>
      <c r="G70" s="55">
        <f t="shared" si="2"/>
        <v>0</v>
      </c>
      <c r="H70" s="33"/>
      <c r="I70" s="33"/>
      <c r="L70" s="33"/>
      <c r="M70" s="10"/>
      <c r="N70" s="10"/>
      <c r="O70" s="10"/>
      <c r="Q70" s="10"/>
      <c r="R70" s="10"/>
      <c r="S70" s="10"/>
    </row>
    <row r="71" spans="1:19" ht="12.75">
      <c r="A71" s="26">
        <f t="shared" si="3"/>
        <v>2035</v>
      </c>
      <c r="B71" s="55">
        <f t="shared" si="4"/>
        <v>6523.398899687512</v>
      </c>
      <c r="C71" s="55">
        <f t="shared" si="0"/>
        <v>45337.29677443594</v>
      </c>
      <c r="D71" s="55">
        <f t="shared" si="5"/>
        <v>57000</v>
      </c>
      <c r="E71" s="55">
        <f t="shared" si="6"/>
        <v>-11662.703225564059</v>
      </c>
      <c r="F71" s="55">
        <f t="shared" si="1"/>
        <v>-11662.703225564059</v>
      </c>
      <c r="G71" s="55">
        <f t="shared" si="2"/>
        <v>0</v>
      </c>
      <c r="H71" s="33"/>
      <c r="I71" s="33"/>
      <c r="L71" s="33"/>
      <c r="M71" s="10"/>
      <c r="N71" s="10"/>
      <c r="O71" s="10"/>
      <c r="Q71" s="10"/>
      <c r="R71" s="10"/>
      <c r="S71" s="10"/>
    </row>
    <row r="72" spans="1:19" ht="12.75">
      <c r="A72" s="33"/>
      <c r="B72" s="33"/>
      <c r="C72" s="33"/>
      <c r="D72" s="33"/>
      <c r="E72" s="33"/>
      <c r="F72" s="33"/>
      <c r="G72" s="33"/>
      <c r="H72" s="33"/>
      <c r="I72" s="33"/>
      <c r="L72" s="33"/>
      <c r="M72" s="10"/>
      <c r="N72" s="10"/>
      <c r="O72" s="10"/>
      <c r="Q72" s="10"/>
      <c r="R72" s="10"/>
      <c r="S72" s="10"/>
    </row>
    <row r="73" spans="9:15" ht="12.75">
      <c r="I73" s="33"/>
      <c r="J73" s="33"/>
      <c r="L73" s="33"/>
      <c r="M73" s="10"/>
      <c r="N73" s="10"/>
      <c r="O73" s="10"/>
    </row>
    <row r="74" spans="1:15" ht="12.75">
      <c r="A74" s="22" t="s">
        <v>14</v>
      </c>
      <c r="E74" s="23" t="s">
        <v>15</v>
      </c>
      <c r="I74" s="33"/>
      <c r="J74" s="33"/>
      <c r="L74" s="33"/>
      <c r="M74" s="10"/>
      <c r="N74" s="10"/>
      <c r="O74" s="10"/>
    </row>
    <row r="75" spans="1:15" ht="12.75">
      <c r="A75" s="22" t="s">
        <v>16</v>
      </c>
      <c r="E75" s="31">
        <f>160*365</f>
        <v>58400</v>
      </c>
      <c r="F75" s="32" t="s">
        <v>17</v>
      </c>
      <c r="I75" s="33"/>
      <c r="J75" s="33"/>
      <c r="L75" s="33"/>
      <c r="M75" s="10"/>
      <c r="N75" s="10"/>
      <c r="O75" s="10"/>
    </row>
    <row r="76" spans="1:15" ht="12.75">
      <c r="A76" s="36">
        <v>1</v>
      </c>
      <c r="B76" s="25" t="s">
        <v>18</v>
      </c>
      <c r="C76" s="26"/>
      <c r="D76" s="26"/>
      <c r="E76" s="27"/>
      <c r="F76" s="28"/>
      <c r="G76" s="29"/>
      <c r="H76" s="37">
        <f>E75</f>
        <v>58400</v>
      </c>
      <c r="I76" s="33"/>
      <c r="J76" s="33"/>
      <c r="L76" s="33"/>
      <c r="M76" s="10"/>
      <c r="N76" s="10"/>
      <c r="O76" s="10"/>
    </row>
    <row r="77" spans="1:15" ht="12.75">
      <c r="A77" s="36">
        <v>2</v>
      </c>
      <c r="B77" s="25" t="s">
        <v>19</v>
      </c>
      <c r="C77" s="26"/>
      <c r="D77" s="26"/>
      <c r="E77" s="27"/>
      <c r="F77" s="28"/>
      <c r="G77" s="29"/>
      <c r="H77" s="37">
        <f>H76</f>
        <v>58400</v>
      </c>
      <c r="I77" s="33"/>
      <c r="J77" s="33"/>
      <c r="L77" s="33"/>
      <c r="M77" s="10"/>
      <c r="N77" s="10"/>
      <c r="O77" s="10"/>
    </row>
    <row r="78" spans="1:15" ht="12.75" customHeight="1">
      <c r="A78" s="36">
        <v>3</v>
      </c>
      <c r="B78" s="25" t="s">
        <v>64</v>
      </c>
      <c r="C78" s="26"/>
      <c r="D78" s="26"/>
      <c r="E78" s="27"/>
      <c r="F78" s="28"/>
      <c r="G78" s="29"/>
      <c r="H78" s="37">
        <f>H77*2</f>
        <v>116800</v>
      </c>
      <c r="I78" s="33"/>
      <c r="J78" s="33"/>
      <c r="L78" s="33"/>
      <c r="M78" s="10"/>
      <c r="N78" s="10"/>
      <c r="O78" s="10"/>
    </row>
    <row r="79" spans="1:15" ht="12.75">
      <c r="A79" s="36">
        <v>4</v>
      </c>
      <c r="B79" s="25" t="s">
        <v>83</v>
      </c>
      <c r="C79" s="26"/>
      <c r="D79" s="26"/>
      <c r="E79" s="27"/>
      <c r="F79" s="28"/>
      <c r="G79" s="29"/>
      <c r="H79" s="37">
        <f>H78</f>
        <v>116800</v>
      </c>
      <c r="I79" s="33"/>
      <c r="J79" s="33"/>
      <c r="L79" s="33"/>
      <c r="M79" s="10"/>
      <c r="N79" s="10"/>
      <c r="O79" s="10"/>
    </row>
    <row r="80" spans="1:15" ht="12.75">
      <c r="A80" s="36">
        <v>5</v>
      </c>
      <c r="B80" s="25" t="s">
        <v>80</v>
      </c>
      <c r="C80" s="26"/>
      <c r="D80" s="26"/>
      <c r="E80" s="26"/>
      <c r="F80" s="26"/>
      <c r="G80" s="26"/>
      <c r="H80" s="37">
        <f>H79</f>
        <v>116800</v>
      </c>
      <c r="I80" s="33"/>
      <c r="J80" s="33"/>
      <c r="L80" s="33"/>
      <c r="M80" s="10"/>
      <c r="N80" s="10"/>
      <c r="O80" s="10"/>
    </row>
    <row r="81" spans="1:15" ht="12.75">
      <c r="A81" s="36">
        <v>6</v>
      </c>
      <c r="B81" s="25" t="s">
        <v>1</v>
      </c>
      <c r="C81" s="26"/>
      <c r="D81" s="26"/>
      <c r="E81" s="26"/>
      <c r="F81" s="26"/>
      <c r="G81" s="26"/>
      <c r="H81" s="37">
        <f>H80</f>
        <v>116800</v>
      </c>
      <c r="I81" s="33"/>
      <c r="J81" s="33"/>
      <c r="L81" s="33"/>
      <c r="M81" s="10"/>
      <c r="N81" s="10"/>
      <c r="O81" s="10"/>
    </row>
    <row r="82" spans="1:15" ht="12.75">
      <c r="A82" s="36">
        <v>7</v>
      </c>
      <c r="B82" s="25" t="s">
        <v>2</v>
      </c>
      <c r="C82" s="26"/>
      <c r="D82" s="26"/>
      <c r="E82" s="26"/>
      <c r="F82" s="26"/>
      <c r="G82" s="26"/>
      <c r="H82" s="37">
        <f>H81</f>
        <v>116800</v>
      </c>
      <c r="I82" s="33"/>
      <c r="J82" s="33"/>
      <c r="K82" s="33"/>
      <c r="L82" s="33"/>
      <c r="M82" s="10"/>
      <c r="N82" s="10"/>
      <c r="O82" s="10"/>
    </row>
    <row r="83" spans="1:16" ht="12.75">
      <c r="A83" s="36">
        <v>8</v>
      </c>
      <c r="B83" s="25" t="s">
        <v>3</v>
      </c>
      <c r="C83" s="26"/>
      <c r="D83" s="26"/>
      <c r="E83" s="26"/>
      <c r="F83" s="26"/>
      <c r="G83" s="26"/>
      <c r="H83" s="37">
        <f>H82</f>
        <v>116800</v>
      </c>
      <c r="I83" s="33"/>
      <c r="J83" s="33"/>
      <c r="K83" s="33"/>
      <c r="L83" s="33"/>
      <c r="M83" s="10"/>
      <c r="N83" s="10"/>
      <c r="O83" s="10"/>
      <c r="P83" s="10"/>
    </row>
    <row r="84" spans="1:16" ht="12.75">
      <c r="A84" s="22" t="s">
        <v>20</v>
      </c>
      <c r="E84" s="31">
        <f>10</f>
        <v>10</v>
      </c>
      <c r="F84" s="32" t="s">
        <v>49</v>
      </c>
      <c r="I84" s="33"/>
      <c r="J84" s="33"/>
      <c r="K84" s="33"/>
      <c r="L84" s="33"/>
      <c r="M84" s="10"/>
      <c r="N84" s="10"/>
      <c r="O84" s="10"/>
      <c r="P84" s="10"/>
    </row>
    <row r="85" spans="1:16" ht="12.75">
      <c r="A85" s="33"/>
      <c r="B85" s="33"/>
      <c r="C85" s="33"/>
      <c r="D85" s="33"/>
      <c r="E85" s="23" t="s">
        <v>21</v>
      </c>
      <c r="F85" s="33"/>
      <c r="G85" s="33"/>
      <c r="H85" s="33"/>
      <c r="I85" s="33"/>
      <c r="J85" s="33"/>
      <c r="K85" s="33"/>
      <c r="L85" s="33"/>
      <c r="M85" s="10"/>
      <c r="N85" s="10"/>
      <c r="O85" s="10"/>
      <c r="P85" s="10"/>
    </row>
    <row r="86" spans="1:16" ht="12.75" customHeight="1">
      <c r="A86" s="26"/>
      <c r="B86" s="122" t="s">
        <v>22</v>
      </c>
      <c r="C86" s="122"/>
      <c r="D86" s="122"/>
      <c r="E86" s="122"/>
      <c r="F86" s="122" t="s">
        <v>46</v>
      </c>
      <c r="G86" s="122"/>
      <c r="H86" s="122"/>
      <c r="I86" s="122"/>
      <c r="J86" s="122" t="s">
        <v>23</v>
      </c>
      <c r="K86" s="122"/>
      <c r="L86" s="33"/>
      <c r="M86" s="10"/>
      <c r="N86" s="10"/>
      <c r="O86" s="10"/>
      <c r="P86" s="10"/>
    </row>
    <row r="87" spans="1:16" s="14" customFormat="1" ht="24" customHeight="1">
      <c r="A87" s="53" t="s">
        <v>56</v>
      </c>
      <c r="B87" s="53" t="s">
        <v>50</v>
      </c>
      <c r="C87" s="53" t="s">
        <v>51</v>
      </c>
      <c r="D87" s="53" t="s">
        <v>52</v>
      </c>
      <c r="E87" s="53" t="s">
        <v>92</v>
      </c>
      <c r="F87" s="53" t="s">
        <v>50</v>
      </c>
      <c r="G87" s="53" t="s">
        <v>51</v>
      </c>
      <c r="H87" s="53" t="s">
        <v>93</v>
      </c>
      <c r="I87" s="53" t="s">
        <v>92</v>
      </c>
      <c r="J87" s="53" t="s">
        <v>24</v>
      </c>
      <c r="K87" s="53" t="s">
        <v>13</v>
      </c>
      <c r="L87" s="33"/>
      <c r="M87" s="10"/>
      <c r="N87" s="10"/>
      <c r="O87" s="10"/>
      <c r="P87" s="10"/>
    </row>
    <row r="88" spans="1:16" ht="12.75">
      <c r="A88" s="26">
        <f>ems</f>
        <v>2015</v>
      </c>
      <c r="B88" s="55">
        <f>(dona-ded)-(((ems-an)-1)*10000)-fortu</f>
        <v>372500</v>
      </c>
      <c r="C88" s="55">
        <f>avs+pc+rev+(B88*imput%)</f>
        <v>118500</v>
      </c>
      <c r="D88" s="55">
        <f>FRpen+dffp</f>
        <v>61700</v>
      </c>
      <c r="E88" s="55">
        <f aca="true" t="shared" si="7" ref="E88:E102">C88-D88</f>
        <v>56800</v>
      </c>
      <c r="F88" s="55">
        <f>(dona-ded)-(((ems-an)-1)*10000)-FRfortu</f>
        <v>210000</v>
      </c>
      <c r="G88" s="55">
        <f>avs+pc+rev+(F88*FRimput%)</f>
        <v>65000</v>
      </c>
      <c r="H88" s="55">
        <f>pen+G1</f>
        <v>57000</v>
      </c>
      <c r="I88" s="55">
        <f aca="true" t="shared" si="8" ref="I88:I102">G88-H88</f>
        <v>8000</v>
      </c>
      <c r="J88" s="55">
        <f>IF(I88&gt;0,H88-avs-pc-rev,H88-avs-pc-rev+I88)</f>
        <v>13000</v>
      </c>
      <c r="K88" s="55">
        <f>IF(J88&gt;0,J88,0)</f>
        <v>13000</v>
      </c>
      <c r="L88" s="33"/>
      <c r="M88" s="10"/>
      <c r="N88" s="10"/>
      <c r="O88" s="10"/>
      <c r="P88" s="10"/>
    </row>
    <row r="89" spans="1:16" ht="12.75">
      <c r="A89" s="26">
        <f>A88+1</f>
        <v>2016</v>
      </c>
      <c r="B89" s="55">
        <f aca="true" t="shared" si="9" ref="B89:B102">B88-10000-K88</f>
        <v>349500</v>
      </c>
      <c r="C89" s="55">
        <f>avs+pc+rev+(B89*imput%)</f>
        <v>113900</v>
      </c>
      <c r="D89" s="55">
        <f aca="true" t="shared" si="10" ref="D89:D108">FRpen+dffp</f>
        <v>61700</v>
      </c>
      <c r="E89" s="55">
        <f t="shared" si="7"/>
        <v>52200</v>
      </c>
      <c r="F89" s="55">
        <f>F88-10000-K88</f>
        <v>187000</v>
      </c>
      <c r="G89" s="55">
        <f>avs+pc+rev+(F89*FRimput%)</f>
        <v>62700</v>
      </c>
      <c r="H89" s="55">
        <f aca="true" t="shared" si="11" ref="H89:H102">H88</f>
        <v>57000</v>
      </c>
      <c r="I89" s="55">
        <f t="shared" si="8"/>
        <v>5700</v>
      </c>
      <c r="J89" s="55">
        <f aca="true" t="shared" si="12" ref="J89:J108">IF(I89&gt;0,H89-avs-pc-rev,H89-avs-pc-rev+I89)</f>
        <v>13000</v>
      </c>
      <c r="K89" s="55">
        <f aca="true" t="shared" si="13" ref="K89:K108">IF(J89&gt;0,J89,0)</f>
        <v>13000</v>
      </c>
      <c r="L89" s="33"/>
      <c r="M89" s="10"/>
      <c r="N89" s="10"/>
      <c r="O89" s="10"/>
      <c r="P89" s="10"/>
    </row>
    <row r="90" spans="1:16" ht="12.75">
      <c r="A90" s="26">
        <f aca="true" t="shared" si="14" ref="A90:A108">A89+1</f>
        <v>2017</v>
      </c>
      <c r="B90" s="55">
        <f t="shared" si="9"/>
        <v>326500</v>
      </c>
      <c r="C90" s="55">
        <f aca="true" t="shared" si="15" ref="C90:C108">avs+pc+rev+(B90*imput%)</f>
        <v>109300</v>
      </c>
      <c r="D90" s="55">
        <f t="shared" si="10"/>
        <v>61700</v>
      </c>
      <c r="E90" s="55">
        <f t="shared" si="7"/>
        <v>47600</v>
      </c>
      <c r="F90" s="55">
        <f aca="true" t="shared" si="16" ref="F90:F108">F89-10000-K89</f>
        <v>164000</v>
      </c>
      <c r="G90" s="55">
        <f aca="true" t="shared" si="17" ref="G90:G108">avs+pc+rev+(F90*FRimput%)</f>
        <v>60400</v>
      </c>
      <c r="H90" s="55">
        <f t="shared" si="11"/>
        <v>57000</v>
      </c>
      <c r="I90" s="55">
        <f t="shared" si="8"/>
        <v>3400</v>
      </c>
      <c r="J90" s="55">
        <f t="shared" si="12"/>
        <v>13000</v>
      </c>
      <c r="K90" s="55">
        <f t="shared" si="13"/>
        <v>13000</v>
      </c>
      <c r="L90" s="33"/>
      <c r="M90" s="10"/>
      <c r="N90" s="10"/>
      <c r="O90" s="10"/>
      <c r="P90" s="10"/>
    </row>
    <row r="91" spans="1:13" ht="12.75">
      <c r="A91" s="26">
        <f t="shared" si="14"/>
        <v>2018</v>
      </c>
      <c r="B91" s="55">
        <f t="shared" si="9"/>
        <v>303500</v>
      </c>
      <c r="C91" s="55">
        <f t="shared" si="15"/>
        <v>104700</v>
      </c>
      <c r="D91" s="55">
        <f t="shared" si="10"/>
        <v>61700</v>
      </c>
      <c r="E91" s="55">
        <f t="shared" si="7"/>
        <v>43000</v>
      </c>
      <c r="F91" s="55">
        <f t="shared" si="16"/>
        <v>141000</v>
      </c>
      <c r="G91" s="55">
        <f t="shared" si="17"/>
        <v>58100</v>
      </c>
      <c r="H91" s="55">
        <f t="shared" si="11"/>
        <v>57000</v>
      </c>
      <c r="I91" s="55">
        <f t="shared" si="8"/>
        <v>1100</v>
      </c>
      <c r="J91" s="55">
        <f t="shared" si="12"/>
        <v>13000</v>
      </c>
      <c r="K91" s="55">
        <f t="shared" si="13"/>
        <v>13000</v>
      </c>
      <c r="L91" s="33"/>
      <c r="M91" s="10"/>
    </row>
    <row r="92" spans="1:13" ht="12.75">
      <c r="A92" s="26">
        <f t="shared" si="14"/>
        <v>2019</v>
      </c>
      <c r="B92" s="55">
        <f t="shared" si="9"/>
        <v>280500</v>
      </c>
      <c r="C92" s="55">
        <f t="shared" si="15"/>
        <v>100100</v>
      </c>
      <c r="D92" s="55">
        <f t="shared" si="10"/>
        <v>61700</v>
      </c>
      <c r="E92" s="55">
        <f t="shared" si="7"/>
        <v>38400</v>
      </c>
      <c r="F92" s="55">
        <f t="shared" si="16"/>
        <v>118000</v>
      </c>
      <c r="G92" s="55">
        <f t="shared" si="17"/>
        <v>55800</v>
      </c>
      <c r="H92" s="55">
        <f t="shared" si="11"/>
        <v>57000</v>
      </c>
      <c r="I92" s="55">
        <f t="shared" si="8"/>
        <v>-1200</v>
      </c>
      <c r="J92" s="55">
        <f t="shared" si="12"/>
        <v>11800</v>
      </c>
      <c r="K92" s="55">
        <f t="shared" si="13"/>
        <v>11800</v>
      </c>
      <c r="L92" s="33"/>
      <c r="M92" s="10"/>
    </row>
    <row r="93" spans="1:13" ht="12.75">
      <c r="A93" s="26">
        <f t="shared" si="14"/>
        <v>2020</v>
      </c>
      <c r="B93" s="55">
        <f t="shared" si="9"/>
        <v>258700</v>
      </c>
      <c r="C93" s="55">
        <f t="shared" si="15"/>
        <v>95740</v>
      </c>
      <c r="D93" s="55">
        <f t="shared" si="10"/>
        <v>61700</v>
      </c>
      <c r="E93" s="55">
        <f t="shared" si="7"/>
        <v>34040</v>
      </c>
      <c r="F93" s="55">
        <f t="shared" si="16"/>
        <v>96200</v>
      </c>
      <c r="G93" s="55">
        <f t="shared" si="17"/>
        <v>53620</v>
      </c>
      <c r="H93" s="55">
        <f t="shared" si="11"/>
        <v>57000</v>
      </c>
      <c r="I93" s="55">
        <f t="shared" si="8"/>
        <v>-3380</v>
      </c>
      <c r="J93" s="55">
        <f t="shared" si="12"/>
        <v>9620</v>
      </c>
      <c r="K93" s="55">
        <f t="shared" si="13"/>
        <v>9620</v>
      </c>
      <c r="L93" s="33"/>
      <c r="M93" s="10"/>
    </row>
    <row r="94" spans="1:13" ht="12.75">
      <c r="A94" s="26">
        <f t="shared" si="14"/>
        <v>2021</v>
      </c>
      <c r="B94" s="55">
        <f t="shared" si="9"/>
        <v>239080</v>
      </c>
      <c r="C94" s="55">
        <f t="shared" si="15"/>
        <v>91816</v>
      </c>
      <c r="D94" s="55">
        <f t="shared" si="10"/>
        <v>61700</v>
      </c>
      <c r="E94" s="55">
        <f t="shared" si="7"/>
        <v>30116</v>
      </c>
      <c r="F94" s="55">
        <f t="shared" si="16"/>
        <v>76580</v>
      </c>
      <c r="G94" s="55">
        <f t="shared" si="17"/>
        <v>51658</v>
      </c>
      <c r="H94" s="55">
        <f t="shared" si="11"/>
        <v>57000</v>
      </c>
      <c r="I94" s="55">
        <f t="shared" si="8"/>
        <v>-5342</v>
      </c>
      <c r="J94" s="55">
        <f t="shared" si="12"/>
        <v>7658</v>
      </c>
      <c r="K94" s="55">
        <f t="shared" si="13"/>
        <v>7658</v>
      </c>
      <c r="L94" s="33"/>
      <c r="M94" s="10"/>
    </row>
    <row r="95" spans="1:13" ht="12.75">
      <c r="A95" s="26">
        <f t="shared" si="14"/>
        <v>2022</v>
      </c>
      <c r="B95" s="55">
        <f t="shared" si="9"/>
        <v>221422</v>
      </c>
      <c r="C95" s="55">
        <f t="shared" si="15"/>
        <v>88284.4</v>
      </c>
      <c r="D95" s="55">
        <f t="shared" si="10"/>
        <v>61700</v>
      </c>
      <c r="E95" s="55">
        <f t="shared" si="7"/>
        <v>26584.399999999994</v>
      </c>
      <c r="F95" s="55">
        <f t="shared" si="16"/>
        <v>58922</v>
      </c>
      <c r="G95" s="55">
        <f t="shared" si="17"/>
        <v>49892.2</v>
      </c>
      <c r="H95" s="55">
        <f t="shared" si="11"/>
        <v>57000</v>
      </c>
      <c r="I95" s="55">
        <f t="shared" si="8"/>
        <v>-7107.800000000003</v>
      </c>
      <c r="J95" s="55">
        <f t="shared" si="12"/>
        <v>5892.199999999997</v>
      </c>
      <c r="K95" s="55">
        <f t="shared" si="13"/>
        <v>5892.199999999997</v>
      </c>
      <c r="L95" s="33"/>
      <c r="M95" s="10"/>
    </row>
    <row r="96" spans="1:13" ht="12.75">
      <c r="A96" s="26">
        <f t="shared" si="14"/>
        <v>2023</v>
      </c>
      <c r="B96" s="55">
        <f t="shared" si="9"/>
        <v>205529.8</v>
      </c>
      <c r="C96" s="55">
        <f t="shared" si="15"/>
        <v>85105.95999999999</v>
      </c>
      <c r="D96" s="55">
        <f t="shared" si="10"/>
        <v>61700</v>
      </c>
      <c r="E96" s="55">
        <f t="shared" si="7"/>
        <v>23405.959999999992</v>
      </c>
      <c r="F96" s="55">
        <f t="shared" si="16"/>
        <v>43029.8</v>
      </c>
      <c r="G96" s="55">
        <f t="shared" si="17"/>
        <v>48302.98</v>
      </c>
      <c r="H96" s="55">
        <f t="shared" si="11"/>
        <v>57000</v>
      </c>
      <c r="I96" s="55">
        <f t="shared" si="8"/>
        <v>-8697.019999999997</v>
      </c>
      <c r="J96" s="55">
        <f t="shared" si="12"/>
        <v>4302.980000000003</v>
      </c>
      <c r="K96" s="55">
        <f t="shared" si="13"/>
        <v>4302.980000000003</v>
      </c>
      <c r="L96" s="33"/>
      <c r="M96" s="10"/>
    </row>
    <row r="97" spans="1:13" ht="12.75">
      <c r="A97" s="26">
        <f t="shared" si="14"/>
        <v>2024</v>
      </c>
      <c r="B97" s="55">
        <f t="shared" si="9"/>
        <v>191226.81999999998</v>
      </c>
      <c r="C97" s="55">
        <f t="shared" si="15"/>
        <v>82245.364</v>
      </c>
      <c r="D97" s="55">
        <f t="shared" si="10"/>
        <v>61700</v>
      </c>
      <c r="E97" s="55">
        <f t="shared" si="7"/>
        <v>20545.364</v>
      </c>
      <c r="F97" s="55">
        <f t="shared" si="16"/>
        <v>28726.82</v>
      </c>
      <c r="G97" s="55">
        <f t="shared" si="17"/>
        <v>46872.682</v>
      </c>
      <c r="H97" s="55">
        <f t="shared" si="11"/>
        <v>57000</v>
      </c>
      <c r="I97" s="55">
        <f t="shared" si="8"/>
        <v>-10127.318</v>
      </c>
      <c r="J97" s="55">
        <f t="shared" si="12"/>
        <v>2872.6820000000007</v>
      </c>
      <c r="K97" s="55">
        <f t="shared" si="13"/>
        <v>2872.6820000000007</v>
      </c>
      <c r="L97" s="33"/>
      <c r="M97" s="10"/>
    </row>
    <row r="98" spans="1:13" ht="12.75">
      <c r="A98" s="26">
        <f t="shared" si="14"/>
        <v>2025</v>
      </c>
      <c r="B98" s="55">
        <f t="shared" si="9"/>
        <v>178354.13799999998</v>
      </c>
      <c r="C98" s="55">
        <f t="shared" si="15"/>
        <v>79670.82759999999</v>
      </c>
      <c r="D98" s="55">
        <f t="shared" si="10"/>
        <v>61700</v>
      </c>
      <c r="E98" s="55">
        <f t="shared" si="7"/>
        <v>17970.82759999999</v>
      </c>
      <c r="F98" s="55">
        <f t="shared" si="16"/>
        <v>15854.137999999999</v>
      </c>
      <c r="G98" s="55">
        <f t="shared" si="17"/>
        <v>45585.4138</v>
      </c>
      <c r="H98" s="55">
        <f t="shared" si="11"/>
        <v>57000</v>
      </c>
      <c r="I98" s="55">
        <f t="shared" si="8"/>
        <v>-11414.586199999998</v>
      </c>
      <c r="J98" s="55">
        <f t="shared" si="12"/>
        <v>1585.413800000002</v>
      </c>
      <c r="K98" s="55">
        <f t="shared" si="13"/>
        <v>1585.413800000002</v>
      </c>
      <c r="L98" s="33"/>
      <c r="M98" s="10"/>
    </row>
    <row r="99" spans="1:13" ht="12.75">
      <c r="A99" s="26">
        <f t="shared" si="14"/>
        <v>2026</v>
      </c>
      <c r="B99" s="55">
        <f t="shared" si="9"/>
        <v>166768.72419999997</v>
      </c>
      <c r="C99" s="55">
        <f t="shared" si="15"/>
        <v>77353.74484</v>
      </c>
      <c r="D99" s="55">
        <f t="shared" si="10"/>
        <v>61700</v>
      </c>
      <c r="E99" s="55">
        <f t="shared" si="7"/>
        <v>15653.74484</v>
      </c>
      <c r="F99" s="55">
        <f t="shared" si="16"/>
        <v>4268.724199999997</v>
      </c>
      <c r="G99" s="55">
        <f t="shared" si="17"/>
        <v>44426.87242</v>
      </c>
      <c r="H99" s="55">
        <f t="shared" si="11"/>
        <v>57000</v>
      </c>
      <c r="I99" s="55">
        <f t="shared" si="8"/>
        <v>-12573.12758</v>
      </c>
      <c r="J99" s="55">
        <f t="shared" si="12"/>
        <v>426.8724199999997</v>
      </c>
      <c r="K99" s="55">
        <f t="shared" si="13"/>
        <v>426.8724199999997</v>
      </c>
      <c r="L99" s="33"/>
      <c r="M99" s="10"/>
    </row>
    <row r="100" spans="1:13" ht="12.75">
      <c r="A100" s="26">
        <f t="shared" si="14"/>
        <v>2027</v>
      </c>
      <c r="B100" s="55">
        <f t="shared" si="9"/>
        <v>156341.85177999997</v>
      </c>
      <c r="C100" s="55">
        <f t="shared" si="15"/>
        <v>75268.370356</v>
      </c>
      <c r="D100" s="55">
        <f t="shared" si="10"/>
        <v>61700</v>
      </c>
      <c r="E100" s="55">
        <f t="shared" si="7"/>
        <v>13568.370356</v>
      </c>
      <c r="F100" s="55">
        <f t="shared" si="16"/>
        <v>-6158.148220000003</v>
      </c>
      <c r="G100" s="55">
        <f t="shared" si="17"/>
        <v>43384.185178</v>
      </c>
      <c r="H100" s="55">
        <f t="shared" si="11"/>
        <v>57000</v>
      </c>
      <c r="I100" s="55">
        <f t="shared" si="8"/>
        <v>-13615.814822</v>
      </c>
      <c r="J100" s="55">
        <f t="shared" si="12"/>
        <v>-615.8148220000003</v>
      </c>
      <c r="K100" s="55">
        <f t="shared" si="13"/>
        <v>0</v>
      </c>
      <c r="L100" s="33"/>
      <c r="M100" s="10"/>
    </row>
    <row r="101" spans="1:13" ht="12.75">
      <c r="A101" s="26">
        <f t="shared" si="14"/>
        <v>2028</v>
      </c>
      <c r="B101" s="55">
        <f t="shared" si="9"/>
        <v>146341.85177999997</v>
      </c>
      <c r="C101" s="55">
        <f t="shared" si="15"/>
        <v>73268.370356</v>
      </c>
      <c r="D101" s="55">
        <f t="shared" si="10"/>
        <v>61700</v>
      </c>
      <c r="E101" s="55">
        <f t="shared" si="7"/>
        <v>11568.370356</v>
      </c>
      <c r="F101" s="55">
        <f t="shared" si="16"/>
        <v>-16158.148220000003</v>
      </c>
      <c r="G101" s="55">
        <f t="shared" si="17"/>
        <v>42384.185178</v>
      </c>
      <c r="H101" s="55">
        <f t="shared" si="11"/>
        <v>57000</v>
      </c>
      <c r="I101" s="55">
        <f t="shared" si="8"/>
        <v>-14615.814822</v>
      </c>
      <c r="J101" s="55">
        <f t="shared" si="12"/>
        <v>-1615.8148220000003</v>
      </c>
      <c r="K101" s="55">
        <f t="shared" si="13"/>
        <v>0</v>
      </c>
      <c r="L101" s="33"/>
      <c r="M101" s="10"/>
    </row>
    <row r="102" spans="1:13" ht="12.75">
      <c r="A102" s="26">
        <f t="shared" si="14"/>
        <v>2029</v>
      </c>
      <c r="B102" s="55">
        <f t="shared" si="9"/>
        <v>136341.85177999997</v>
      </c>
      <c r="C102" s="55">
        <f t="shared" si="15"/>
        <v>71268.370356</v>
      </c>
      <c r="D102" s="55">
        <f t="shared" si="10"/>
        <v>61700</v>
      </c>
      <c r="E102" s="55">
        <f t="shared" si="7"/>
        <v>9568.370356</v>
      </c>
      <c r="F102" s="55">
        <f t="shared" si="16"/>
        <v>-26158.148220000003</v>
      </c>
      <c r="G102" s="55">
        <f t="shared" si="17"/>
        <v>41384.185178</v>
      </c>
      <c r="H102" s="55">
        <f t="shared" si="11"/>
        <v>57000</v>
      </c>
      <c r="I102" s="55">
        <f t="shared" si="8"/>
        <v>-15615.814822</v>
      </c>
      <c r="J102" s="55">
        <f t="shared" si="12"/>
        <v>-2615.8148220000003</v>
      </c>
      <c r="K102" s="55">
        <f t="shared" si="13"/>
        <v>0</v>
      </c>
      <c r="L102" s="33"/>
      <c r="M102" s="10"/>
    </row>
    <row r="103" spans="1:13" ht="12.75">
      <c r="A103" s="26">
        <f t="shared" si="14"/>
        <v>2030</v>
      </c>
      <c r="B103" s="55">
        <f aca="true" t="shared" si="18" ref="B103:B108">B102-10000-K102</f>
        <v>126341.85177999997</v>
      </c>
      <c r="C103" s="55">
        <f t="shared" si="15"/>
        <v>69268.370356</v>
      </c>
      <c r="D103" s="55">
        <f t="shared" si="10"/>
        <v>61700</v>
      </c>
      <c r="E103" s="55">
        <f aca="true" t="shared" si="19" ref="E103:E108">C103-D103</f>
        <v>7568.370355999999</v>
      </c>
      <c r="F103" s="55">
        <f t="shared" si="16"/>
        <v>-36158.14822</v>
      </c>
      <c r="G103" s="55">
        <f t="shared" si="17"/>
        <v>40384.185178</v>
      </c>
      <c r="H103" s="55">
        <f aca="true" t="shared" si="20" ref="H103:H108">H102</f>
        <v>57000</v>
      </c>
      <c r="I103" s="55">
        <f aca="true" t="shared" si="21" ref="I103:I108">G103-H103</f>
        <v>-16615.814822</v>
      </c>
      <c r="J103" s="55">
        <f t="shared" si="12"/>
        <v>-3615.8148220000003</v>
      </c>
      <c r="K103" s="55">
        <f t="shared" si="13"/>
        <v>0</v>
      </c>
      <c r="L103" s="33"/>
      <c r="M103" s="10"/>
    </row>
    <row r="104" spans="1:13" ht="12.75">
      <c r="A104" s="26">
        <f t="shared" si="14"/>
        <v>2031</v>
      </c>
      <c r="B104" s="55">
        <f t="shared" si="18"/>
        <v>116341.85177999997</v>
      </c>
      <c r="C104" s="55">
        <f t="shared" si="15"/>
        <v>67268.370356</v>
      </c>
      <c r="D104" s="55">
        <f t="shared" si="10"/>
        <v>61700</v>
      </c>
      <c r="E104" s="55">
        <f t="shared" si="19"/>
        <v>5568.370355999999</v>
      </c>
      <c r="F104" s="55">
        <f t="shared" si="16"/>
        <v>-46158.14822</v>
      </c>
      <c r="G104" s="55">
        <f t="shared" si="17"/>
        <v>39384.185178</v>
      </c>
      <c r="H104" s="55">
        <f t="shared" si="20"/>
        <v>57000</v>
      </c>
      <c r="I104" s="55">
        <f t="shared" si="21"/>
        <v>-17615.814822</v>
      </c>
      <c r="J104" s="55">
        <f t="shared" si="12"/>
        <v>-4615.814822</v>
      </c>
      <c r="K104" s="55">
        <f t="shared" si="13"/>
        <v>0</v>
      </c>
      <c r="L104" s="33"/>
      <c r="M104" s="10"/>
    </row>
    <row r="105" spans="1:13" ht="12.75">
      <c r="A105" s="26">
        <f t="shared" si="14"/>
        <v>2032</v>
      </c>
      <c r="B105" s="55">
        <f t="shared" si="18"/>
        <v>106341.85177999997</v>
      </c>
      <c r="C105" s="55">
        <f t="shared" si="15"/>
        <v>65268.370356</v>
      </c>
      <c r="D105" s="55">
        <f t="shared" si="10"/>
        <v>61700</v>
      </c>
      <c r="E105" s="55">
        <f t="shared" si="19"/>
        <v>3568.3703559999994</v>
      </c>
      <c r="F105" s="55">
        <f t="shared" si="16"/>
        <v>-56158.14822</v>
      </c>
      <c r="G105" s="55">
        <f t="shared" si="17"/>
        <v>38384.185178</v>
      </c>
      <c r="H105" s="55">
        <f t="shared" si="20"/>
        <v>57000</v>
      </c>
      <c r="I105" s="55">
        <f t="shared" si="21"/>
        <v>-18615.814822</v>
      </c>
      <c r="J105" s="55">
        <f t="shared" si="12"/>
        <v>-5615.814822</v>
      </c>
      <c r="K105" s="55">
        <f t="shared" si="13"/>
        <v>0</v>
      </c>
      <c r="L105" s="33"/>
      <c r="M105" s="10"/>
    </row>
    <row r="106" spans="1:13" ht="12.75">
      <c r="A106" s="26">
        <f t="shared" si="14"/>
        <v>2033</v>
      </c>
      <c r="B106" s="55">
        <f t="shared" si="18"/>
        <v>96341.85177999997</v>
      </c>
      <c r="C106" s="55">
        <f t="shared" si="15"/>
        <v>63268.370356</v>
      </c>
      <c r="D106" s="55">
        <f t="shared" si="10"/>
        <v>61700</v>
      </c>
      <c r="E106" s="55">
        <f t="shared" si="19"/>
        <v>1568.3703559999994</v>
      </c>
      <c r="F106" s="55">
        <f t="shared" si="16"/>
        <v>-66158.14822</v>
      </c>
      <c r="G106" s="55">
        <f t="shared" si="17"/>
        <v>37384.185178</v>
      </c>
      <c r="H106" s="55">
        <f t="shared" si="20"/>
        <v>57000</v>
      </c>
      <c r="I106" s="55">
        <f t="shared" si="21"/>
        <v>-19615.814822</v>
      </c>
      <c r="J106" s="55">
        <f t="shared" si="12"/>
        <v>-6615.814822</v>
      </c>
      <c r="K106" s="55">
        <f t="shared" si="13"/>
        <v>0</v>
      </c>
      <c r="L106" s="33"/>
      <c r="M106" s="10"/>
    </row>
    <row r="107" spans="1:13" ht="12.75">
      <c r="A107" s="26">
        <f t="shared" si="14"/>
        <v>2034</v>
      </c>
      <c r="B107" s="55">
        <f t="shared" si="18"/>
        <v>86341.85177999997</v>
      </c>
      <c r="C107" s="55">
        <f t="shared" si="15"/>
        <v>61268.370356</v>
      </c>
      <c r="D107" s="55">
        <f t="shared" si="10"/>
        <v>61700</v>
      </c>
      <c r="E107" s="55">
        <f t="shared" si="19"/>
        <v>-431.62964400000055</v>
      </c>
      <c r="F107" s="55">
        <f t="shared" si="16"/>
        <v>-76158.14822</v>
      </c>
      <c r="G107" s="55">
        <f t="shared" si="17"/>
        <v>36384.185178</v>
      </c>
      <c r="H107" s="55">
        <f t="shared" si="20"/>
        <v>57000</v>
      </c>
      <c r="I107" s="55">
        <f t="shared" si="21"/>
        <v>-20615.814822</v>
      </c>
      <c r="J107" s="55">
        <f t="shared" si="12"/>
        <v>-7615.814822</v>
      </c>
      <c r="K107" s="55">
        <f t="shared" si="13"/>
        <v>0</v>
      </c>
      <c r="L107" s="33"/>
      <c r="M107" s="10"/>
    </row>
    <row r="108" spans="1:13" ht="12.75">
      <c r="A108" s="26">
        <f t="shared" si="14"/>
        <v>2035</v>
      </c>
      <c r="B108" s="55">
        <f t="shared" si="18"/>
        <v>76341.85177999997</v>
      </c>
      <c r="C108" s="55">
        <f t="shared" si="15"/>
        <v>59268.37035599999</v>
      </c>
      <c r="D108" s="55">
        <f t="shared" si="10"/>
        <v>61700</v>
      </c>
      <c r="E108" s="55">
        <f t="shared" si="19"/>
        <v>-2431.629644000008</v>
      </c>
      <c r="F108" s="55">
        <f t="shared" si="16"/>
        <v>-86158.14822</v>
      </c>
      <c r="G108" s="55">
        <f t="shared" si="17"/>
        <v>35384.185178</v>
      </c>
      <c r="H108" s="55">
        <f t="shared" si="20"/>
        <v>57000</v>
      </c>
      <c r="I108" s="55">
        <f t="shared" si="21"/>
        <v>-21615.814822</v>
      </c>
      <c r="J108" s="55">
        <f t="shared" si="12"/>
        <v>-8615.814822</v>
      </c>
      <c r="K108" s="55">
        <f t="shared" si="13"/>
        <v>0</v>
      </c>
      <c r="L108" s="33"/>
      <c r="M108" s="10"/>
    </row>
    <row r="109" spans="10:13" ht="12.75">
      <c r="J109" s="33"/>
      <c r="K109" s="33"/>
      <c r="L109" s="33"/>
      <c r="M109" s="10"/>
    </row>
    <row r="112" spans="8:12" ht="12.75">
      <c r="H112" s="33"/>
      <c r="I112" s="33"/>
      <c r="J112" s="33"/>
      <c r="K112" s="33"/>
      <c r="L112" s="33"/>
    </row>
    <row r="113" spans="8:12" ht="12.75">
      <c r="H113" s="33"/>
      <c r="I113" s="33"/>
      <c r="J113" s="33"/>
      <c r="K113" s="33"/>
      <c r="L113" s="33"/>
    </row>
    <row r="114" spans="9:12" ht="12.75">
      <c r="I114" s="33"/>
      <c r="J114" s="33"/>
      <c r="K114" s="33"/>
      <c r="L114" s="33"/>
    </row>
    <row r="115" spans="9:12" ht="12.75">
      <c r="I115" s="33"/>
      <c r="J115" s="33"/>
      <c r="K115" s="33"/>
      <c r="L115" s="33"/>
    </row>
    <row r="116" spans="9:12" ht="12.75">
      <c r="I116" s="33"/>
      <c r="J116" s="33"/>
      <c r="K116" s="33"/>
      <c r="L116" s="33"/>
    </row>
    <row r="117" spans="9:12" ht="12.75">
      <c r="I117" s="33"/>
      <c r="J117" s="33"/>
      <c r="K117" s="33"/>
      <c r="L117" s="33"/>
    </row>
    <row r="118" spans="9:12" ht="12.75">
      <c r="I118" s="33"/>
      <c r="J118" s="33"/>
      <c r="K118" s="33"/>
      <c r="L118" s="33"/>
    </row>
    <row r="119" spans="9:12" ht="12.75">
      <c r="I119" s="33"/>
      <c r="J119" s="33"/>
      <c r="K119" s="33"/>
      <c r="L119" s="33"/>
    </row>
    <row r="120" spans="9:12" ht="12.75">
      <c r="I120" s="33"/>
      <c r="J120" s="33"/>
      <c r="K120" s="33"/>
      <c r="L120" s="33"/>
    </row>
    <row r="121" spans="9:12" ht="12.75">
      <c r="I121" s="33"/>
      <c r="J121" s="33"/>
      <c r="K121" s="33"/>
      <c r="L121" s="33"/>
    </row>
    <row r="122" spans="9:12" ht="12.75">
      <c r="I122" s="33"/>
      <c r="J122" s="33"/>
      <c r="K122" s="33"/>
      <c r="L122" s="33"/>
    </row>
    <row r="123" spans="9:12" ht="12.75">
      <c r="I123" s="33"/>
      <c r="J123" s="33"/>
      <c r="K123" s="33"/>
      <c r="L123" s="33"/>
    </row>
    <row r="124" spans="9:12" ht="12.75">
      <c r="I124" s="33"/>
      <c r="J124" s="33"/>
      <c r="K124" s="33"/>
      <c r="L124" s="33"/>
    </row>
    <row r="125" spans="9:12" ht="12.75">
      <c r="I125" s="33"/>
      <c r="J125" s="33"/>
      <c r="K125" s="33"/>
      <c r="L125" s="33"/>
    </row>
    <row r="126" spans="9:12" ht="12.75">
      <c r="I126" s="33"/>
      <c r="J126" s="33"/>
      <c r="K126" s="33"/>
      <c r="L126" s="33"/>
    </row>
    <row r="127" spans="9:12" ht="12.75">
      <c r="I127" s="33"/>
      <c r="J127" s="33"/>
      <c r="K127" s="33"/>
      <c r="L127" s="33"/>
    </row>
    <row r="128" spans="9:12" ht="12.75">
      <c r="I128" s="33"/>
      <c r="J128" s="33"/>
      <c r="K128" s="33"/>
      <c r="L128" s="33"/>
    </row>
    <row r="129" spans="9:12" ht="12.75">
      <c r="I129" s="33"/>
      <c r="J129" s="33"/>
      <c r="K129" s="33"/>
      <c r="L129" s="33"/>
    </row>
    <row r="130" spans="9:12" ht="12.75">
      <c r="I130" s="33"/>
      <c r="J130" s="33"/>
      <c r="K130" s="33"/>
      <c r="L130" s="33"/>
    </row>
    <row r="131" spans="9:12" ht="12.75">
      <c r="I131" s="33"/>
      <c r="J131" s="33"/>
      <c r="K131" s="33"/>
      <c r="L131" s="33"/>
    </row>
    <row r="132" spans="9:12" ht="12.75">
      <c r="I132" s="33"/>
      <c r="J132" s="33"/>
      <c r="K132" s="33"/>
      <c r="L132" s="33"/>
    </row>
    <row r="133" spans="9:12" ht="12.75">
      <c r="I133" s="33"/>
      <c r="J133" s="33"/>
      <c r="K133" s="33"/>
      <c r="L133" s="33"/>
    </row>
    <row r="134" spans="9:12" ht="12.75">
      <c r="I134" s="33"/>
      <c r="J134" s="33"/>
      <c r="K134" s="33"/>
      <c r="L134" s="33"/>
    </row>
    <row r="135" ht="12.75">
      <c r="G135" s="33"/>
    </row>
    <row r="139" spans="1:4" ht="12.75">
      <c r="A139" s="34" t="s">
        <v>25</v>
      </c>
      <c r="B139" s="34">
        <v>700000</v>
      </c>
      <c r="C139" s="34"/>
      <c r="D139" s="34"/>
    </row>
    <row r="140" spans="1:4" ht="12.75">
      <c r="A140" s="34" t="s">
        <v>26</v>
      </c>
      <c r="B140" s="34">
        <v>150000</v>
      </c>
      <c r="C140" s="31"/>
      <c r="D140" s="31"/>
    </row>
    <row r="141" spans="1:4" ht="12.75">
      <c r="A141" s="34" t="s">
        <v>27</v>
      </c>
      <c r="B141" s="34">
        <v>39780</v>
      </c>
      <c r="C141" s="34"/>
      <c r="D141" s="34"/>
    </row>
    <row r="142" spans="1:4" ht="12.75">
      <c r="A142" s="34" t="s">
        <v>28</v>
      </c>
      <c r="B142" s="34">
        <v>53360</v>
      </c>
      <c r="C142" s="34"/>
      <c r="D142" s="34"/>
    </row>
    <row r="143" spans="1:4" ht="12.75">
      <c r="A143" s="34" t="s">
        <v>29</v>
      </c>
      <c r="B143" s="34">
        <v>102200</v>
      </c>
      <c r="C143" s="34"/>
      <c r="D143" s="34"/>
    </row>
    <row r="144" spans="1:4" ht="12.75">
      <c r="A144" s="34"/>
      <c r="B144" s="31"/>
      <c r="C144" s="31"/>
      <c r="D144" s="31"/>
    </row>
    <row r="145" spans="1:4" ht="12.75">
      <c r="A145" s="45"/>
      <c r="B145" s="31"/>
      <c r="C145" s="31"/>
      <c r="D145" s="31"/>
    </row>
    <row r="146" spans="1:4" ht="12.75">
      <c r="A146" s="34" t="s">
        <v>30</v>
      </c>
      <c r="B146" s="31" t="s">
        <v>31</v>
      </c>
      <c r="C146" s="31" t="s">
        <v>32</v>
      </c>
      <c r="D146" s="31"/>
    </row>
    <row r="147" spans="1:4" ht="12.75">
      <c r="A147" s="58" t="s">
        <v>33</v>
      </c>
      <c r="B147" s="45">
        <v>58400</v>
      </c>
      <c r="C147" s="45" t="s">
        <v>34</v>
      </c>
      <c r="D147" s="31"/>
    </row>
    <row r="148" spans="1:4" ht="12.75">
      <c r="A148" s="34" t="s">
        <v>35</v>
      </c>
      <c r="B148" s="45">
        <v>3840</v>
      </c>
      <c r="C148" s="45">
        <v>3840</v>
      </c>
      <c r="D148" s="31" t="s">
        <v>36</v>
      </c>
    </row>
    <row r="149" spans="1:4" ht="12.75">
      <c r="A149" s="34" t="s">
        <v>81</v>
      </c>
      <c r="B149" s="45">
        <v>25000</v>
      </c>
      <c r="C149" s="45">
        <v>200000</v>
      </c>
      <c r="D149" s="31"/>
    </row>
    <row r="150" spans="1:4" ht="12.75">
      <c r="A150" s="34"/>
      <c r="B150" s="31"/>
      <c r="C150" s="31"/>
      <c r="D150" s="31"/>
    </row>
    <row r="151" spans="1:4" ht="12.75">
      <c r="A151" s="59" t="s">
        <v>37</v>
      </c>
      <c r="B151" s="31"/>
      <c r="C151" s="31"/>
      <c r="D151" s="31"/>
    </row>
    <row r="152" spans="1:4" ht="12.75">
      <c r="A152" s="32" t="s">
        <v>38</v>
      </c>
      <c r="B152" s="34">
        <f>B147+B148</f>
        <v>62240</v>
      </c>
      <c r="C152" s="31"/>
      <c r="D152" s="31"/>
    </row>
    <row r="153" spans="1:4" ht="12.75">
      <c r="A153" s="60" t="s">
        <v>39</v>
      </c>
      <c r="B153" s="61">
        <f>(B139-B140-B31%)-B149</f>
        <v>524999.8</v>
      </c>
      <c r="C153" s="31"/>
      <c r="D153" s="31"/>
    </row>
    <row r="154" spans="1:4" ht="12.75">
      <c r="A154" s="34" t="s">
        <v>40</v>
      </c>
      <c r="B154" s="45">
        <f>B141+B142+(B153*B31%)</f>
        <v>198139.96000000002</v>
      </c>
      <c r="C154" s="31"/>
      <c r="D154" s="31"/>
    </row>
    <row r="155" spans="3:4" ht="12.75">
      <c r="C155" s="31"/>
      <c r="D155" s="31"/>
    </row>
    <row r="156" spans="1:4" ht="12.75">
      <c r="A156" s="59" t="s">
        <v>41</v>
      </c>
      <c r="B156" s="45"/>
      <c r="C156" s="31"/>
      <c r="D156" s="31"/>
    </row>
    <row r="157" spans="1:4" ht="12.75">
      <c r="A157" s="32" t="s">
        <v>42</v>
      </c>
      <c r="B157" s="45">
        <f>B143+C148</f>
        <v>106040</v>
      </c>
      <c r="C157" s="31"/>
      <c r="D157" s="31"/>
    </row>
    <row r="158" spans="1:4" ht="12.75">
      <c r="A158" s="60" t="s">
        <v>39</v>
      </c>
      <c r="B158" s="61" t="e">
        <f>(B139-B140-#REF!)-C149</f>
        <v>#REF!</v>
      </c>
      <c r="C158" s="31"/>
      <c r="D158" s="31"/>
    </row>
    <row r="159" spans="1:4" ht="12.75">
      <c r="A159" s="34" t="s">
        <v>40</v>
      </c>
      <c r="B159" s="45" t="e">
        <f>B141+B142+(B158*#REF!%)</f>
        <v>#REF!</v>
      </c>
      <c r="C159" s="34"/>
      <c r="D159" s="34"/>
    </row>
    <row r="160" spans="1:4" ht="12.75">
      <c r="A160" s="47"/>
      <c r="B160" s="47"/>
      <c r="C160" s="47"/>
      <c r="D160" s="47"/>
    </row>
    <row r="161" spans="1:4" ht="12.75">
      <c r="A161" s="62" t="s">
        <v>43</v>
      </c>
      <c r="C161" s="47"/>
      <c r="D161" s="47"/>
    </row>
    <row r="162" spans="1:4" ht="12.75">
      <c r="A162" s="47" t="s">
        <v>47</v>
      </c>
      <c r="B162" s="45">
        <f>B157</f>
        <v>106040</v>
      </c>
      <c r="C162" s="47"/>
      <c r="D162" s="47"/>
    </row>
    <row r="163" spans="1:4" ht="12.75">
      <c r="A163" s="47" t="s">
        <v>44</v>
      </c>
      <c r="B163" s="45">
        <f>B141+B142</f>
        <v>93140</v>
      </c>
      <c r="C163" s="47"/>
      <c r="D163" s="47"/>
    </row>
    <row r="164" spans="1:4" ht="12.75">
      <c r="A164" s="47" t="s">
        <v>45</v>
      </c>
      <c r="B164" s="45">
        <f>B162-B163</f>
        <v>12900</v>
      </c>
      <c r="C164" s="47"/>
      <c r="D164" s="47"/>
    </row>
  </sheetData>
  <sheetProtection password="DE35" sheet="1" objects="1" scenarios="1"/>
  <mergeCells count="3">
    <mergeCell ref="J86:K86"/>
    <mergeCell ref="B86:E86"/>
    <mergeCell ref="F86:I86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/>
  <ignoredErrors>
    <ignoredError sqref="F38 J38 F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Editions Plus 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Chevrolet</dc:creator>
  <cp:keywords/>
  <dc:description/>
  <cp:lastModifiedBy>Christian Microsoft</cp:lastModifiedBy>
  <dcterms:created xsi:type="dcterms:W3CDTF">2012-03-27T15:51:52Z</dcterms:created>
  <dcterms:modified xsi:type="dcterms:W3CDTF">2015-05-29T08:40:35Z</dcterms:modified>
  <cp:category/>
  <cp:version/>
  <cp:contentType/>
  <cp:contentStatus/>
</cp:coreProperties>
</file>